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0re/Desktop/Portfolio/scripts/"/>
    </mc:Choice>
  </mc:AlternateContent>
  <xr:revisionPtr revIDLastSave="0" documentId="13_ncr:20001_{EF6782A8-05FC-2A4D-9EA5-9844FD296337}" xr6:coauthVersionLast="47" xr6:coauthVersionMax="47" xr10:uidLastSave="{00000000-0000-0000-0000-000000000000}"/>
  <bookViews>
    <workbookView xWindow="1440" yWindow="500" windowWidth="27360" windowHeight="17500" xr2:uid="{00000000-000D-0000-FFFF-FFFF00000000}"/>
  </bookViews>
  <sheets>
    <sheet name="Simple" sheetId="1" r:id="rId1"/>
    <sheet name="Raw Values" sheetId="2" r:id="rId2"/>
    <sheet name="Analysis" sheetId="3" r:id="rId3"/>
    <sheet name="Firing Inaccuracy(Standing) Raw" sheetId="4" state="hidden" r:id="rId4"/>
    <sheet name="Firing Inaccuracy(Standing)" sheetId="5" r:id="rId5"/>
    <sheet name="Firing Inaccuracy(Crouching) Ra" sheetId="6" state="hidden" r:id="rId6"/>
    <sheet name="Firing Inaccuracy(Crouching)" sheetId="7" r:id="rId7"/>
    <sheet name="Firing Inaccuracy(Tapping)" sheetId="8" r:id="rId8"/>
    <sheet name="Firing Inaccuracy(Tapping) Raw" sheetId="9" state="hidden" r:id="rId9"/>
    <sheet name="Damage @Range" sheetId="10" r:id="rId10"/>
    <sheet name="Damage @Range(Armor)" sheetId="11" r:id="rId11"/>
    <sheet name="Time-to-Kill @Range(Armor)" sheetId="12" r:id="rId12"/>
    <sheet name="Reload &amp; Deploy Times" sheetId="13" r:id="rId13"/>
    <sheet name="License" sheetId="14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2" l="1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39" i="12"/>
  <c r="D39" i="12"/>
  <c r="C39" i="12"/>
  <c r="B39" i="12"/>
  <c r="E38" i="12"/>
  <c r="D38" i="12"/>
  <c r="C38" i="12"/>
  <c r="B38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  <c r="X45" i="11"/>
  <c r="Y45" i="12" s="1"/>
  <c r="W45" i="11"/>
  <c r="X45" i="12" s="1"/>
  <c r="V45" i="11"/>
  <c r="W45" i="12" s="1"/>
  <c r="T45" i="11"/>
  <c r="U45" i="12" s="1"/>
  <c r="S45" i="11"/>
  <c r="T45" i="12" s="1"/>
  <c r="R45" i="11"/>
  <c r="S45" i="12" s="1"/>
  <c r="Q45" i="11"/>
  <c r="R45" i="12" s="1"/>
  <c r="AD45" i="12" s="1"/>
  <c r="P45" i="11"/>
  <c r="Q45" i="12" s="1"/>
  <c r="O45" i="11"/>
  <c r="P45" i="12" s="1"/>
  <c r="N45" i="11"/>
  <c r="O45" i="12" s="1"/>
  <c r="M45" i="11"/>
  <c r="N45" i="12" s="1"/>
  <c r="L45" i="11"/>
  <c r="M45" i="12" s="1"/>
  <c r="K45" i="11"/>
  <c r="L45" i="12" s="1"/>
  <c r="AC45" i="12" s="1"/>
  <c r="J45" i="11"/>
  <c r="K45" i="12" s="1"/>
  <c r="I45" i="11"/>
  <c r="J45" i="12" s="1"/>
  <c r="H45" i="11"/>
  <c r="I45" i="12" s="1"/>
  <c r="AB45" i="12" s="1"/>
  <c r="G45" i="11"/>
  <c r="H45" i="12" s="1"/>
  <c r="F45" i="11"/>
  <c r="G45" i="12" s="1"/>
  <c r="AA45" i="12" s="1"/>
  <c r="D45" i="11"/>
  <c r="C45" i="11"/>
  <c r="AA45" i="11" s="1"/>
  <c r="B45" i="11"/>
  <c r="AB44" i="11"/>
  <c r="X44" i="11"/>
  <c r="Y44" i="12" s="1"/>
  <c r="W44" i="11"/>
  <c r="X44" i="12" s="1"/>
  <c r="V44" i="11"/>
  <c r="W44" i="12" s="1"/>
  <c r="T44" i="11"/>
  <c r="U44" i="12" s="1"/>
  <c r="S44" i="11"/>
  <c r="T44" i="12" s="1"/>
  <c r="R44" i="11"/>
  <c r="S44" i="12" s="1"/>
  <c r="Q44" i="11"/>
  <c r="R44" i="12" s="1"/>
  <c r="AD44" i="12" s="1"/>
  <c r="P44" i="11"/>
  <c r="Q44" i="12" s="1"/>
  <c r="O44" i="11"/>
  <c r="P44" i="12" s="1"/>
  <c r="N44" i="11"/>
  <c r="O44" i="12" s="1"/>
  <c r="M44" i="11"/>
  <c r="N44" i="12" s="1"/>
  <c r="L44" i="11"/>
  <c r="M44" i="12" s="1"/>
  <c r="K44" i="11"/>
  <c r="L44" i="12" s="1"/>
  <c r="AC44" i="12" s="1"/>
  <c r="J44" i="11"/>
  <c r="K44" i="12" s="1"/>
  <c r="I44" i="11"/>
  <c r="J44" i="12" s="1"/>
  <c r="H44" i="11"/>
  <c r="I44" i="12" s="1"/>
  <c r="AB44" i="12" s="1"/>
  <c r="G44" i="11"/>
  <c r="H44" i="12" s="1"/>
  <c r="F44" i="11"/>
  <c r="G44" i="12" s="1"/>
  <c r="AA44" i="12" s="1"/>
  <c r="D44" i="11"/>
  <c r="C44" i="11"/>
  <c r="AA44" i="11" s="1"/>
  <c r="B44" i="11"/>
  <c r="X43" i="11"/>
  <c r="Y43" i="12" s="1"/>
  <c r="W43" i="11"/>
  <c r="X43" i="12" s="1"/>
  <c r="V43" i="11"/>
  <c r="W43" i="12" s="1"/>
  <c r="T43" i="11"/>
  <c r="U43" i="12" s="1"/>
  <c r="S43" i="11"/>
  <c r="T43" i="12" s="1"/>
  <c r="R43" i="11"/>
  <c r="S43" i="12" s="1"/>
  <c r="Q43" i="11"/>
  <c r="R43" i="12" s="1"/>
  <c r="AD43" i="12" s="1"/>
  <c r="P43" i="11"/>
  <c r="Q43" i="12" s="1"/>
  <c r="O43" i="11"/>
  <c r="P43" i="12" s="1"/>
  <c r="N43" i="11"/>
  <c r="O43" i="12" s="1"/>
  <c r="M43" i="11"/>
  <c r="N43" i="12" s="1"/>
  <c r="L43" i="11"/>
  <c r="M43" i="12" s="1"/>
  <c r="K43" i="11"/>
  <c r="L43" i="12" s="1"/>
  <c r="AC43" i="12" s="1"/>
  <c r="J43" i="11"/>
  <c r="K43" i="12" s="1"/>
  <c r="I43" i="11"/>
  <c r="J43" i="12" s="1"/>
  <c r="H43" i="11"/>
  <c r="I43" i="12" s="1"/>
  <c r="AB43" i="12" s="1"/>
  <c r="G43" i="11"/>
  <c r="H43" i="12" s="1"/>
  <c r="F43" i="11"/>
  <c r="G43" i="12" s="1"/>
  <c r="AA43" i="12" s="1"/>
  <c r="D43" i="11"/>
  <c r="C43" i="11"/>
  <c r="AA43" i="11" s="1"/>
  <c r="B43" i="11"/>
  <c r="X42" i="11"/>
  <c r="Y42" i="12" s="1"/>
  <c r="W42" i="11"/>
  <c r="X42" i="12" s="1"/>
  <c r="V42" i="11"/>
  <c r="W42" i="12" s="1"/>
  <c r="T42" i="11"/>
  <c r="U42" i="12" s="1"/>
  <c r="S42" i="11"/>
  <c r="T42" i="12" s="1"/>
  <c r="R42" i="11"/>
  <c r="S42" i="12" s="1"/>
  <c r="Q42" i="11"/>
  <c r="R42" i="12" s="1"/>
  <c r="P42" i="11"/>
  <c r="Q42" i="12" s="1"/>
  <c r="O42" i="11"/>
  <c r="P42" i="12" s="1"/>
  <c r="N42" i="11"/>
  <c r="O42" i="12" s="1"/>
  <c r="M42" i="11"/>
  <c r="N42" i="12" s="1"/>
  <c r="L42" i="11"/>
  <c r="M42" i="12" s="1"/>
  <c r="K42" i="11"/>
  <c r="L42" i="12" s="1"/>
  <c r="J42" i="11"/>
  <c r="K42" i="12" s="1"/>
  <c r="I42" i="11"/>
  <c r="J42" i="12" s="1"/>
  <c r="H42" i="11"/>
  <c r="I42" i="12" s="1"/>
  <c r="G42" i="11"/>
  <c r="H42" i="12" s="1"/>
  <c r="F42" i="11"/>
  <c r="G42" i="12" s="1"/>
  <c r="D42" i="11"/>
  <c r="C42" i="11"/>
  <c r="AA42" i="11" s="1"/>
  <c r="B42" i="11"/>
  <c r="X39" i="11"/>
  <c r="Y39" i="12" s="1"/>
  <c r="W39" i="11"/>
  <c r="X39" i="12" s="1"/>
  <c r="V39" i="11"/>
  <c r="W39" i="12" s="1"/>
  <c r="T39" i="11"/>
  <c r="U39" i="12" s="1"/>
  <c r="S39" i="11"/>
  <c r="T39" i="12" s="1"/>
  <c r="R39" i="11"/>
  <c r="S39" i="12" s="1"/>
  <c r="Q39" i="11"/>
  <c r="R39" i="12" s="1"/>
  <c r="AD39" i="12" s="1"/>
  <c r="P39" i="11"/>
  <c r="Q39" i="12" s="1"/>
  <c r="O39" i="11"/>
  <c r="P39" i="12" s="1"/>
  <c r="N39" i="11"/>
  <c r="O39" i="12" s="1"/>
  <c r="M39" i="11"/>
  <c r="N39" i="12" s="1"/>
  <c r="L39" i="11"/>
  <c r="M39" i="12" s="1"/>
  <c r="K39" i="11"/>
  <c r="L39" i="12" s="1"/>
  <c r="AC39" i="12" s="1"/>
  <c r="J39" i="11"/>
  <c r="K39" i="12" s="1"/>
  <c r="I39" i="11"/>
  <c r="J39" i="12" s="1"/>
  <c r="H39" i="11"/>
  <c r="I39" i="12" s="1"/>
  <c r="AB39" i="12" s="1"/>
  <c r="G39" i="11"/>
  <c r="H39" i="12" s="1"/>
  <c r="F39" i="11"/>
  <c r="G39" i="12" s="1"/>
  <c r="AA39" i="12" s="1"/>
  <c r="D39" i="11"/>
  <c r="C39" i="11"/>
  <c r="B39" i="11"/>
  <c r="AE38" i="11"/>
  <c r="X38" i="11"/>
  <c r="Y38" i="12" s="1"/>
  <c r="W38" i="11"/>
  <c r="X38" i="12" s="1"/>
  <c r="V38" i="11"/>
  <c r="W38" i="12" s="1"/>
  <c r="T38" i="11"/>
  <c r="U38" i="12" s="1"/>
  <c r="S38" i="11"/>
  <c r="T38" i="12" s="1"/>
  <c r="R38" i="11"/>
  <c r="S38" i="12" s="1"/>
  <c r="Q38" i="11"/>
  <c r="R38" i="12" s="1"/>
  <c r="AD38" i="12" s="1"/>
  <c r="P38" i="11"/>
  <c r="Q38" i="12" s="1"/>
  <c r="O38" i="11"/>
  <c r="P38" i="12" s="1"/>
  <c r="N38" i="11"/>
  <c r="O38" i="12" s="1"/>
  <c r="M38" i="11"/>
  <c r="N38" i="12" s="1"/>
  <c r="L38" i="11"/>
  <c r="M38" i="12" s="1"/>
  <c r="K38" i="11"/>
  <c r="L38" i="12" s="1"/>
  <c r="AC38" i="12" s="1"/>
  <c r="J38" i="11"/>
  <c r="K38" i="12" s="1"/>
  <c r="I38" i="11"/>
  <c r="J38" i="12" s="1"/>
  <c r="H38" i="11"/>
  <c r="I38" i="12" s="1"/>
  <c r="AB38" i="12" s="1"/>
  <c r="G38" i="11"/>
  <c r="H38" i="12" s="1"/>
  <c r="F38" i="11"/>
  <c r="G38" i="12" s="1"/>
  <c r="AA38" i="12" s="1"/>
  <c r="D38" i="11"/>
  <c r="C38" i="11"/>
  <c r="AA38" i="11" s="1"/>
  <c r="B38" i="11"/>
  <c r="X35" i="11"/>
  <c r="Y35" i="12" s="1"/>
  <c r="W35" i="11"/>
  <c r="X35" i="12" s="1"/>
  <c r="V35" i="11"/>
  <c r="W35" i="12" s="1"/>
  <c r="T35" i="11"/>
  <c r="U35" i="12" s="1"/>
  <c r="S35" i="11"/>
  <c r="T35" i="12" s="1"/>
  <c r="R35" i="11"/>
  <c r="S35" i="12" s="1"/>
  <c r="Q35" i="11"/>
  <c r="R35" i="12" s="1"/>
  <c r="AD35" i="12" s="1"/>
  <c r="P35" i="11"/>
  <c r="Q35" i="12" s="1"/>
  <c r="O35" i="11"/>
  <c r="P35" i="12" s="1"/>
  <c r="N35" i="11"/>
  <c r="O35" i="12" s="1"/>
  <c r="M35" i="11"/>
  <c r="N35" i="12" s="1"/>
  <c r="L35" i="11"/>
  <c r="M35" i="12" s="1"/>
  <c r="K35" i="11"/>
  <c r="L35" i="12" s="1"/>
  <c r="AC35" i="12" s="1"/>
  <c r="J35" i="11"/>
  <c r="K35" i="12" s="1"/>
  <c r="I35" i="11"/>
  <c r="J35" i="12" s="1"/>
  <c r="H35" i="11"/>
  <c r="I35" i="12" s="1"/>
  <c r="AB35" i="12" s="1"/>
  <c r="G35" i="11"/>
  <c r="H35" i="12" s="1"/>
  <c r="F35" i="11"/>
  <c r="G35" i="12" s="1"/>
  <c r="AA35" i="12" s="1"/>
  <c r="D35" i="11"/>
  <c r="C35" i="11"/>
  <c r="AA35" i="11" s="1"/>
  <c r="B35" i="11"/>
  <c r="AE34" i="11"/>
  <c r="X34" i="11"/>
  <c r="Y34" i="12" s="1"/>
  <c r="W34" i="11"/>
  <c r="X34" i="12" s="1"/>
  <c r="V34" i="11"/>
  <c r="W34" i="12" s="1"/>
  <c r="T34" i="11"/>
  <c r="U34" i="12" s="1"/>
  <c r="S34" i="11"/>
  <c r="T34" i="12" s="1"/>
  <c r="R34" i="11"/>
  <c r="S34" i="12" s="1"/>
  <c r="Q34" i="11"/>
  <c r="R34" i="12" s="1"/>
  <c r="AD34" i="12" s="1"/>
  <c r="P34" i="11"/>
  <c r="Q34" i="12" s="1"/>
  <c r="O34" i="11"/>
  <c r="P34" i="12" s="1"/>
  <c r="N34" i="11"/>
  <c r="O34" i="12" s="1"/>
  <c r="M34" i="11"/>
  <c r="N34" i="12" s="1"/>
  <c r="L34" i="11"/>
  <c r="M34" i="12" s="1"/>
  <c r="K34" i="11"/>
  <c r="L34" i="12" s="1"/>
  <c r="AC34" i="12" s="1"/>
  <c r="J34" i="11"/>
  <c r="K34" i="12" s="1"/>
  <c r="I34" i="11"/>
  <c r="J34" i="12" s="1"/>
  <c r="H34" i="11"/>
  <c r="I34" i="12" s="1"/>
  <c r="AB34" i="12" s="1"/>
  <c r="G34" i="11"/>
  <c r="H34" i="12" s="1"/>
  <c r="F34" i="11"/>
  <c r="G34" i="12" s="1"/>
  <c r="AA34" i="12" s="1"/>
  <c r="D34" i="11"/>
  <c r="C34" i="11"/>
  <c r="B34" i="11"/>
  <c r="AE33" i="11"/>
  <c r="X33" i="11"/>
  <c r="Y33" i="12" s="1"/>
  <c r="W33" i="11"/>
  <c r="X33" i="12" s="1"/>
  <c r="V33" i="11"/>
  <c r="W33" i="12" s="1"/>
  <c r="T33" i="11"/>
  <c r="U33" i="12" s="1"/>
  <c r="S33" i="11"/>
  <c r="T33" i="12" s="1"/>
  <c r="R33" i="11"/>
  <c r="S33" i="12" s="1"/>
  <c r="Q33" i="11"/>
  <c r="R33" i="12" s="1"/>
  <c r="AD33" i="12" s="1"/>
  <c r="P33" i="11"/>
  <c r="Q33" i="12" s="1"/>
  <c r="O33" i="11"/>
  <c r="P33" i="12" s="1"/>
  <c r="N33" i="11"/>
  <c r="O33" i="12" s="1"/>
  <c r="M33" i="11"/>
  <c r="N33" i="12" s="1"/>
  <c r="L33" i="11"/>
  <c r="M33" i="12" s="1"/>
  <c r="K33" i="11"/>
  <c r="L33" i="12" s="1"/>
  <c r="AC33" i="12" s="1"/>
  <c r="J33" i="11"/>
  <c r="K33" i="12" s="1"/>
  <c r="I33" i="11"/>
  <c r="J33" i="12" s="1"/>
  <c r="H33" i="11"/>
  <c r="I33" i="12" s="1"/>
  <c r="AB33" i="12" s="1"/>
  <c r="G33" i="11"/>
  <c r="H33" i="12" s="1"/>
  <c r="F33" i="11"/>
  <c r="G33" i="12" s="1"/>
  <c r="AA33" i="12" s="1"/>
  <c r="D33" i="11"/>
  <c r="C33" i="11"/>
  <c r="B33" i="11"/>
  <c r="X32" i="11"/>
  <c r="Y32" i="12" s="1"/>
  <c r="W32" i="11"/>
  <c r="X32" i="12" s="1"/>
  <c r="V32" i="11"/>
  <c r="W32" i="12" s="1"/>
  <c r="T32" i="11"/>
  <c r="U32" i="12" s="1"/>
  <c r="S32" i="11"/>
  <c r="T32" i="12" s="1"/>
  <c r="R32" i="11"/>
  <c r="S32" i="12" s="1"/>
  <c r="Q32" i="11"/>
  <c r="R32" i="12" s="1"/>
  <c r="AD32" i="12" s="1"/>
  <c r="P32" i="11"/>
  <c r="Q32" i="12" s="1"/>
  <c r="O32" i="11"/>
  <c r="P32" i="12" s="1"/>
  <c r="N32" i="11"/>
  <c r="O32" i="12" s="1"/>
  <c r="M32" i="11"/>
  <c r="N32" i="12" s="1"/>
  <c r="L32" i="11"/>
  <c r="M32" i="12" s="1"/>
  <c r="K32" i="11"/>
  <c r="L32" i="12" s="1"/>
  <c r="AC32" i="12" s="1"/>
  <c r="J32" i="11"/>
  <c r="K32" i="12" s="1"/>
  <c r="I32" i="11"/>
  <c r="J32" i="12" s="1"/>
  <c r="H32" i="11"/>
  <c r="I32" i="12" s="1"/>
  <c r="AB32" i="12" s="1"/>
  <c r="G32" i="11"/>
  <c r="H32" i="12" s="1"/>
  <c r="F32" i="11"/>
  <c r="G32" i="12" s="1"/>
  <c r="AA32" i="12" s="1"/>
  <c r="D32" i="11"/>
  <c r="C32" i="11"/>
  <c r="B32" i="11"/>
  <c r="X31" i="11"/>
  <c r="Y31" i="12" s="1"/>
  <c r="W31" i="11"/>
  <c r="X31" i="12" s="1"/>
  <c r="V31" i="11"/>
  <c r="W31" i="12" s="1"/>
  <c r="T31" i="11"/>
  <c r="U31" i="12" s="1"/>
  <c r="S31" i="11"/>
  <c r="T31" i="12" s="1"/>
  <c r="R31" i="11"/>
  <c r="S31" i="12" s="1"/>
  <c r="Q31" i="11"/>
  <c r="R31" i="12" s="1"/>
  <c r="AD31" i="12" s="1"/>
  <c r="P31" i="11"/>
  <c r="Q31" i="12" s="1"/>
  <c r="O31" i="11"/>
  <c r="P31" i="12" s="1"/>
  <c r="N31" i="11"/>
  <c r="O31" i="12" s="1"/>
  <c r="M31" i="11"/>
  <c r="N31" i="12" s="1"/>
  <c r="L31" i="11"/>
  <c r="M31" i="12" s="1"/>
  <c r="K31" i="11"/>
  <c r="L31" i="12" s="1"/>
  <c r="AC31" i="12" s="1"/>
  <c r="J31" i="11"/>
  <c r="K31" i="12" s="1"/>
  <c r="I31" i="11"/>
  <c r="J31" i="12" s="1"/>
  <c r="H31" i="11"/>
  <c r="I31" i="12" s="1"/>
  <c r="AB31" i="12" s="1"/>
  <c r="G31" i="11"/>
  <c r="H31" i="12" s="1"/>
  <c r="F31" i="11"/>
  <c r="G31" i="12" s="1"/>
  <c r="AA31" i="12" s="1"/>
  <c r="D31" i="11"/>
  <c r="C31" i="11"/>
  <c r="B31" i="11"/>
  <c r="AE30" i="11"/>
  <c r="X30" i="11"/>
  <c r="Y30" i="12" s="1"/>
  <c r="W30" i="11"/>
  <c r="X30" i="12" s="1"/>
  <c r="V30" i="11"/>
  <c r="W30" i="12" s="1"/>
  <c r="T30" i="11"/>
  <c r="U30" i="12" s="1"/>
  <c r="S30" i="11"/>
  <c r="T30" i="12" s="1"/>
  <c r="R30" i="11"/>
  <c r="S30" i="12" s="1"/>
  <c r="Q30" i="11"/>
  <c r="R30" i="12" s="1"/>
  <c r="AD30" i="12" s="1"/>
  <c r="P30" i="11"/>
  <c r="Q30" i="12" s="1"/>
  <c r="O30" i="11"/>
  <c r="P30" i="12" s="1"/>
  <c r="N30" i="11"/>
  <c r="O30" i="12" s="1"/>
  <c r="M30" i="11"/>
  <c r="N30" i="12" s="1"/>
  <c r="L30" i="11"/>
  <c r="M30" i="12" s="1"/>
  <c r="K30" i="11"/>
  <c r="L30" i="12" s="1"/>
  <c r="AC30" i="12" s="1"/>
  <c r="J30" i="11"/>
  <c r="K30" i="12" s="1"/>
  <c r="I30" i="11"/>
  <c r="J30" i="12" s="1"/>
  <c r="H30" i="11"/>
  <c r="I30" i="12" s="1"/>
  <c r="AB30" i="12" s="1"/>
  <c r="G30" i="11"/>
  <c r="H30" i="12" s="1"/>
  <c r="F30" i="11"/>
  <c r="G30" i="12" s="1"/>
  <c r="AA30" i="12" s="1"/>
  <c r="D30" i="11"/>
  <c r="C30" i="11"/>
  <c r="AA30" i="11" s="1"/>
  <c r="B30" i="11"/>
  <c r="X29" i="11"/>
  <c r="Y29" i="12" s="1"/>
  <c r="W29" i="11"/>
  <c r="X29" i="12" s="1"/>
  <c r="V29" i="11"/>
  <c r="W29" i="12" s="1"/>
  <c r="T29" i="11"/>
  <c r="U29" i="12" s="1"/>
  <c r="S29" i="11"/>
  <c r="T29" i="12" s="1"/>
  <c r="R29" i="11"/>
  <c r="S29" i="12" s="1"/>
  <c r="Q29" i="11"/>
  <c r="R29" i="12" s="1"/>
  <c r="AD29" i="12" s="1"/>
  <c r="P29" i="11"/>
  <c r="Q29" i="12" s="1"/>
  <c r="O29" i="11"/>
  <c r="P29" i="12" s="1"/>
  <c r="N29" i="11"/>
  <c r="O29" i="12" s="1"/>
  <c r="M29" i="11"/>
  <c r="N29" i="12" s="1"/>
  <c r="L29" i="11"/>
  <c r="M29" i="12" s="1"/>
  <c r="K29" i="11"/>
  <c r="L29" i="12" s="1"/>
  <c r="AC29" i="12" s="1"/>
  <c r="J29" i="11"/>
  <c r="K29" i="12" s="1"/>
  <c r="I29" i="11"/>
  <c r="J29" i="12" s="1"/>
  <c r="H29" i="11"/>
  <c r="I29" i="12" s="1"/>
  <c r="AB29" i="12" s="1"/>
  <c r="G29" i="11"/>
  <c r="H29" i="12" s="1"/>
  <c r="F29" i="11"/>
  <c r="G29" i="12" s="1"/>
  <c r="AA29" i="12" s="1"/>
  <c r="D29" i="11"/>
  <c r="C29" i="11"/>
  <c r="AA29" i="11" s="1"/>
  <c r="B29" i="11"/>
  <c r="AE26" i="11"/>
  <c r="X26" i="11"/>
  <c r="Y26" i="12" s="1"/>
  <c r="W26" i="11"/>
  <c r="X26" i="12" s="1"/>
  <c r="V26" i="11"/>
  <c r="W26" i="12" s="1"/>
  <c r="T26" i="11"/>
  <c r="U26" i="12" s="1"/>
  <c r="S26" i="11"/>
  <c r="T26" i="12" s="1"/>
  <c r="R26" i="11"/>
  <c r="S26" i="12" s="1"/>
  <c r="Q26" i="11"/>
  <c r="R26" i="12" s="1"/>
  <c r="AD26" i="12" s="1"/>
  <c r="P26" i="11"/>
  <c r="Q26" i="12" s="1"/>
  <c r="O26" i="11"/>
  <c r="P26" i="12" s="1"/>
  <c r="N26" i="11"/>
  <c r="O26" i="12" s="1"/>
  <c r="M26" i="11"/>
  <c r="N26" i="12" s="1"/>
  <c r="L26" i="11"/>
  <c r="M26" i="12" s="1"/>
  <c r="K26" i="11"/>
  <c r="L26" i="12" s="1"/>
  <c r="AC26" i="12" s="1"/>
  <c r="J26" i="11"/>
  <c r="K26" i="12" s="1"/>
  <c r="I26" i="11"/>
  <c r="J26" i="12" s="1"/>
  <c r="H26" i="11"/>
  <c r="I26" i="12" s="1"/>
  <c r="AB26" i="12" s="1"/>
  <c r="G26" i="11"/>
  <c r="H26" i="12" s="1"/>
  <c r="F26" i="11"/>
  <c r="G26" i="12" s="1"/>
  <c r="AA26" i="12" s="1"/>
  <c r="D26" i="11"/>
  <c r="C26" i="11"/>
  <c r="Z26" i="11" s="1"/>
  <c r="B26" i="11"/>
  <c r="X25" i="11"/>
  <c r="Y25" i="12" s="1"/>
  <c r="W25" i="11"/>
  <c r="X25" i="12" s="1"/>
  <c r="V25" i="11"/>
  <c r="W25" i="12" s="1"/>
  <c r="T25" i="11"/>
  <c r="U25" i="12" s="1"/>
  <c r="S25" i="11"/>
  <c r="T25" i="12" s="1"/>
  <c r="R25" i="11"/>
  <c r="S25" i="12" s="1"/>
  <c r="Q25" i="11"/>
  <c r="R25" i="12" s="1"/>
  <c r="AD25" i="12" s="1"/>
  <c r="P25" i="11"/>
  <c r="Q25" i="12" s="1"/>
  <c r="O25" i="11"/>
  <c r="P25" i="12" s="1"/>
  <c r="N25" i="11"/>
  <c r="O25" i="12" s="1"/>
  <c r="M25" i="11"/>
  <c r="N25" i="12" s="1"/>
  <c r="L25" i="11"/>
  <c r="M25" i="12" s="1"/>
  <c r="K25" i="11"/>
  <c r="L25" i="12" s="1"/>
  <c r="AC25" i="12" s="1"/>
  <c r="J25" i="11"/>
  <c r="K25" i="12" s="1"/>
  <c r="I25" i="11"/>
  <c r="J25" i="12" s="1"/>
  <c r="H25" i="11"/>
  <c r="I25" i="12" s="1"/>
  <c r="AB25" i="12" s="1"/>
  <c r="G25" i="11"/>
  <c r="H25" i="12" s="1"/>
  <c r="F25" i="11"/>
  <c r="G25" i="12" s="1"/>
  <c r="AA25" i="12" s="1"/>
  <c r="D25" i="11"/>
  <c r="C25" i="11"/>
  <c r="Z25" i="11" s="1"/>
  <c r="B25" i="11"/>
  <c r="AE24" i="11"/>
  <c r="X24" i="11"/>
  <c r="Y24" i="12" s="1"/>
  <c r="W24" i="11"/>
  <c r="X24" i="12" s="1"/>
  <c r="V24" i="11"/>
  <c r="W24" i="12" s="1"/>
  <c r="T24" i="11"/>
  <c r="U24" i="12" s="1"/>
  <c r="S24" i="11"/>
  <c r="T24" i="12" s="1"/>
  <c r="R24" i="11"/>
  <c r="S24" i="12" s="1"/>
  <c r="Q24" i="11"/>
  <c r="R24" i="12" s="1"/>
  <c r="AD24" i="12" s="1"/>
  <c r="P24" i="11"/>
  <c r="Q24" i="12" s="1"/>
  <c r="O24" i="11"/>
  <c r="P24" i="12" s="1"/>
  <c r="N24" i="11"/>
  <c r="O24" i="12" s="1"/>
  <c r="M24" i="11"/>
  <c r="N24" i="12" s="1"/>
  <c r="L24" i="11"/>
  <c r="M24" i="12" s="1"/>
  <c r="K24" i="11"/>
  <c r="L24" i="12" s="1"/>
  <c r="AC24" i="12" s="1"/>
  <c r="J24" i="11"/>
  <c r="K24" i="12" s="1"/>
  <c r="I24" i="11"/>
  <c r="J24" i="12" s="1"/>
  <c r="H24" i="11"/>
  <c r="I24" i="12" s="1"/>
  <c r="AB24" i="12" s="1"/>
  <c r="G24" i="11"/>
  <c r="H24" i="12" s="1"/>
  <c r="F24" i="11"/>
  <c r="G24" i="12" s="1"/>
  <c r="AA24" i="12" s="1"/>
  <c r="D24" i="11"/>
  <c r="C24" i="11"/>
  <c r="Z24" i="11" s="1"/>
  <c r="B24" i="11"/>
  <c r="X23" i="11"/>
  <c r="Y23" i="12" s="1"/>
  <c r="W23" i="11"/>
  <c r="X23" i="12" s="1"/>
  <c r="V23" i="11"/>
  <c r="W23" i="12" s="1"/>
  <c r="T23" i="11"/>
  <c r="U23" i="12" s="1"/>
  <c r="S23" i="11"/>
  <c r="T23" i="12" s="1"/>
  <c r="R23" i="11"/>
  <c r="S23" i="12" s="1"/>
  <c r="Q23" i="11"/>
  <c r="R23" i="12" s="1"/>
  <c r="AD23" i="12" s="1"/>
  <c r="P23" i="11"/>
  <c r="Q23" i="12" s="1"/>
  <c r="O23" i="11"/>
  <c r="P23" i="12" s="1"/>
  <c r="N23" i="11"/>
  <c r="O23" i="12" s="1"/>
  <c r="M23" i="11"/>
  <c r="N23" i="12" s="1"/>
  <c r="L23" i="11"/>
  <c r="M23" i="12" s="1"/>
  <c r="K23" i="11"/>
  <c r="L23" i="12" s="1"/>
  <c r="AC23" i="12" s="1"/>
  <c r="J23" i="11"/>
  <c r="K23" i="12" s="1"/>
  <c r="I23" i="11"/>
  <c r="J23" i="12" s="1"/>
  <c r="H23" i="11"/>
  <c r="I23" i="12" s="1"/>
  <c r="AB23" i="12" s="1"/>
  <c r="G23" i="11"/>
  <c r="H23" i="12" s="1"/>
  <c r="F23" i="11"/>
  <c r="G23" i="12" s="1"/>
  <c r="AA23" i="12" s="1"/>
  <c r="D23" i="11"/>
  <c r="C23" i="11"/>
  <c r="Z23" i="11" s="1"/>
  <c r="B23" i="11"/>
  <c r="AE22" i="11"/>
  <c r="X22" i="11"/>
  <c r="Y22" i="12" s="1"/>
  <c r="W22" i="11"/>
  <c r="X22" i="12" s="1"/>
  <c r="V22" i="11"/>
  <c r="W22" i="12" s="1"/>
  <c r="T22" i="11"/>
  <c r="U22" i="12" s="1"/>
  <c r="S22" i="11"/>
  <c r="T22" i="12" s="1"/>
  <c r="R22" i="11"/>
  <c r="S22" i="12" s="1"/>
  <c r="Q22" i="11"/>
  <c r="R22" i="12" s="1"/>
  <c r="AD22" i="12" s="1"/>
  <c r="P22" i="11"/>
  <c r="Q22" i="12" s="1"/>
  <c r="O22" i="11"/>
  <c r="P22" i="12" s="1"/>
  <c r="N22" i="11"/>
  <c r="O22" i="12" s="1"/>
  <c r="M22" i="11"/>
  <c r="N22" i="12" s="1"/>
  <c r="L22" i="11"/>
  <c r="M22" i="12" s="1"/>
  <c r="K22" i="11"/>
  <c r="L22" i="12" s="1"/>
  <c r="AC22" i="12" s="1"/>
  <c r="J22" i="11"/>
  <c r="K22" i="12" s="1"/>
  <c r="I22" i="11"/>
  <c r="J22" i="12" s="1"/>
  <c r="H22" i="11"/>
  <c r="I22" i="12" s="1"/>
  <c r="AB22" i="12" s="1"/>
  <c r="G22" i="11"/>
  <c r="H22" i="12" s="1"/>
  <c r="F22" i="11"/>
  <c r="G22" i="12" s="1"/>
  <c r="AA22" i="12" s="1"/>
  <c r="D22" i="11"/>
  <c r="C22" i="11"/>
  <c r="Z22" i="11" s="1"/>
  <c r="B22" i="11"/>
  <c r="X21" i="11"/>
  <c r="Y21" i="12" s="1"/>
  <c r="W21" i="11"/>
  <c r="X21" i="12" s="1"/>
  <c r="V21" i="11"/>
  <c r="W21" i="12" s="1"/>
  <c r="T21" i="11"/>
  <c r="U21" i="12" s="1"/>
  <c r="S21" i="11"/>
  <c r="T21" i="12" s="1"/>
  <c r="R21" i="11"/>
  <c r="S21" i="12" s="1"/>
  <c r="Q21" i="11"/>
  <c r="R21" i="12" s="1"/>
  <c r="AD21" i="12" s="1"/>
  <c r="P21" i="11"/>
  <c r="Q21" i="12" s="1"/>
  <c r="O21" i="11"/>
  <c r="P21" i="12" s="1"/>
  <c r="N21" i="11"/>
  <c r="O21" i="12" s="1"/>
  <c r="M21" i="11"/>
  <c r="N21" i="12" s="1"/>
  <c r="L21" i="11"/>
  <c r="M21" i="12" s="1"/>
  <c r="K21" i="11"/>
  <c r="L21" i="12" s="1"/>
  <c r="AC21" i="12" s="1"/>
  <c r="J21" i="11"/>
  <c r="K21" i="12" s="1"/>
  <c r="I21" i="11"/>
  <c r="J21" i="12" s="1"/>
  <c r="H21" i="11"/>
  <c r="I21" i="12" s="1"/>
  <c r="AB21" i="12" s="1"/>
  <c r="G21" i="11"/>
  <c r="H21" i="12" s="1"/>
  <c r="F21" i="11"/>
  <c r="G21" i="12" s="1"/>
  <c r="AA21" i="12" s="1"/>
  <c r="D21" i="11"/>
  <c r="C21" i="11"/>
  <c r="Z21" i="11" s="1"/>
  <c r="B21" i="11"/>
  <c r="AE20" i="11"/>
  <c r="X20" i="11"/>
  <c r="Y20" i="12" s="1"/>
  <c r="W20" i="11"/>
  <c r="X20" i="12" s="1"/>
  <c r="V20" i="11"/>
  <c r="W20" i="12" s="1"/>
  <c r="T20" i="11"/>
  <c r="U20" i="12" s="1"/>
  <c r="S20" i="11"/>
  <c r="T20" i="12" s="1"/>
  <c r="R20" i="11"/>
  <c r="S20" i="12" s="1"/>
  <c r="Q20" i="11"/>
  <c r="R20" i="12" s="1"/>
  <c r="AD20" i="12" s="1"/>
  <c r="P20" i="11"/>
  <c r="Q20" i="12" s="1"/>
  <c r="O20" i="11"/>
  <c r="P20" i="12" s="1"/>
  <c r="N20" i="11"/>
  <c r="O20" i="12" s="1"/>
  <c r="M20" i="11"/>
  <c r="N20" i="12" s="1"/>
  <c r="L20" i="11"/>
  <c r="M20" i="12" s="1"/>
  <c r="K20" i="11"/>
  <c r="L20" i="12" s="1"/>
  <c r="AC20" i="12" s="1"/>
  <c r="J20" i="11"/>
  <c r="K20" i="12" s="1"/>
  <c r="I20" i="11"/>
  <c r="J20" i="12" s="1"/>
  <c r="H20" i="11"/>
  <c r="I20" i="12" s="1"/>
  <c r="AB20" i="12" s="1"/>
  <c r="G20" i="11"/>
  <c r="H20" i="12" s="1"/>
  <c r="F20" i="11"/>
  <c r="G20" i="12" s="1"/>
  <c r="AA20" i="12" s="1"/>
  <c r="D20" i="11"/>
  <c r="C20" i="11"/>
  <c r="Z20" i="11" s="1"/>
  <c r="B20" i="11"/>
  <c r="X17" i="11"/>
  <c r="W17" i="11"/>
  <c r="V17" i="11"/>
  <c r="T17" i="11"/>
  <c r="U17" i="12" s="1"/>
  <c r="S17" i="11"/>
  <c r="T17" i="12" s="1"/>
  <c r="R17" i="11"/>
  <c r="S17" i="12" s="1"/>
  <c r="Q17" i="11"/>
  <c r="R17" i="12" s="1"/>
  <c r="AD17" i="12" s="1"/>
  <c r="P17" i="11"/>
  <c r="Q17" i="12" s="1"/>
  <c r="O17" i="11"/>
  <c r="P17" i="12" s="1"/>
  <c r="N17" i="11"/>
  <c r="O17" i="12" s="1"/>
  <c r="M17" i="11"/>
  <c r="N17" i="12" s="1"/>
  <c r="L17" i="11"/>
  <c r="M17" i="12" s="1"/>
  <c r="K17" i="11"/>
  <c r="L17" i="12" s="1"/>
  <c r="AC17" i="12" s="1"/>
  <c r="J17" i="11"/>
  <c r="K17" i="12" s="1"/>
  <c r="I17" i="11"/>
  <c r="J17" i="12" s="1"/>
  <c r="H17" i="11"/>
  <c r="I17" i="12" s="1"/>
  <c r="AB17" i="12" s="1"/>
  <c r="G17" i="11"/>
  <c r="H17" i="12" s="1"/>
  <c r="F17" i="11"/>
  <c r="G17" i="12" s="1"/>
  <c r="AA17" i="12" s="1"/>
  <c r="D17" i="11"/>
  <c r="C17" i="11"/>
  <c r="Z17" i="11" s="1"/>
  <c r="B17" i="11"/>
  <c r="T16" i="11"/>
  <c r="U16" i="12" s="1"/>
  <c r="S16" i="11"/>
  <c r="T16" i="12" s="1"/>
  <c r="R16" i="11"/>
  <c r="S16" i="12" s="1"/>
  <c r="Q16" i="11"/>
  <c r="R16" i="12" s="1"/>
  <c r="AD16" i="12" s="1"/>
  <c r="P16" i="11"/>
  <c r="Q16" i="12" s="1"/>
  <c r="O16" i="11"/>
  <c r="P16" i="12" s="1"/>
  <c r="N16" i="11"/>
  <c r="O16" i="12" s="1"/>
  <c r="M16" i="11"/>
  <c r="N16" i="12" s="1"/>
  <c r="L16" i="11"/>
  <c r="M16" i="12" s="1"/>
  <c r="K16" i="11"/>
  <c r="L16" i="12" s="1"/>
  <c r="AC16" i="12" s="1"/>
  <c r="J16" i="11"/>
  <c r="K16" i="12" s="1"/>
  <c r="I16" i="11"/>
  <c r="J16" i="12" s="1"/>
  <c r="H16" i="11"/>
  <c r="I16" i="12" s="1"/>
  <c r="G16" i="11"/>
  <c r="H16" i="12" s="1"/>
  <c r="F16" i="11"/>
  <c r="G16" i="12" s="1"/>
  <c r="D16" i="11"/>
  <c r="C16" i="11"/>
  <c r="Z16" i="11" s="1"/>
  <c r="B16" i="11"/>
  <c r="X15" i="11"/>
  <c r="W15" i="11"/>
  <c r="V15" i="11"/>
  <c r="T15" i="11"/>
  <c r="U15" i="12" s="1"/>
  <c r="S15" i="11"/>
  <c r="T15" i="12" s="1"/>
  <c r="R15" i="11"/>
  <c r="S15" i="12" s="1"/>
  <c r="Q15" i="11"/>
  <c r="R15" i="12" s="1"/>
  <c r="AD15" i="12" s="1"/>
  <c r="P15" i="11"/>
  <c r="Q15" i="12" s="1"/>
  <c r="O15" i="11"/>
  <c r="P15" i="12" s="1"/>
  <c r="N15" i="11"/>
  <c r="O15" i="12" s="1"/>
  <c r="M15" i="11"/>
  <c r="N15" i="12" s="1"/>
  <c r="L15" i="11"/>
  <c r="M15" i="12" s="1"/>
  <c r="K15" i="11"/>
  <c r="L15" i="12" s="1"/>
  <c r="AC15" i="12" s="1"/>
  <c r="J15" i="11"/>
  <c r="K15" i="12" s="1"/>
  <c r="I15" i="11"/>
  <c r="J15" i="12" s="1"/>
  <c r="H15" i="11"/>
  <c r="I15" i="12" s="1"/>
  <c r="AB15" i="12" s="1"/>
  <c r="G15" i="11"/>
  <c r="H15" i="12" s="1"/>
  <c r="F15" i="11"/>
  <c r="G15" i="12" s="1"/>
  <c r="D15" i="11"/>
  <c r="C15" i="11"/>
  <c r="Z15" i="11" s="1"/>
  <c r="B15" i="11"/>
  <c r="T14" i="11"/>
  <c r="U14" i="12" s="1"/>
  <c r="S14" i="11"/>
  <c r="T14" i="12" s="1"/>
  <c r="R14" i="11"/>
  <c r="S14" i="12" s="1"/>
  <c r="Q14" i="11"/>
  <c r="R14" i="12" s="1"/>
  <c r="AD14" i="12" s="1"/>
  <c r="P14" i="11"/>
  <c r="Q14" i="12" s="1"/>
  <c r="O14" i="11"/>
  <c r="P14" i="12" s="1"/>
  <c r="N14" i="11"/>
  <c r="O14" i="12" s="1"/>
  <c r="M14" i="11"/>
  <c r="N14" i="12" s="1"/>
  <c r="L14" i="11"/>
  <c r="M14" i="12" s="1"/>
  <c r="K14" i="11"/>
  <c r="L14" i="12" s="1"/>
  <c r="AC14" i="12" s="1"/>
  <c r="J14" i="11"/>
  <c r="K14" i="12" s="1"/>
  <c r="I14" i="11"/>
  <c r="J14" i="12" s="1"/>
  <c r="H14" i="11"/>
  <c r="I14" i="12" s="1"/>
  <c r="G14" i="11"/>
  <c r="H14" i="12" s="1"/>
  <c r="F14" i="11"/>
  <c r="G14" i="12" s="1"/>
  <c r="D14" i="11"/>
  <c r="C14" i="11"/>
  <c r="Z14" i="11" s="1"/>
  <c r="B14" i="11"/>
  <c r="X11" i="11"/>
  <c r="Y11" i="12" s="1"/>
  <c r="W11" i="11"/>
  <c r="X11" i="12" s="1"/>
  <c r="V11" i="11"/>
  <c r="W11" i="12" s="1"/>
  <c r="T11" i="11"/>
  <c r="U11" i="12" s="1"/>
  <c r="S11" i="11"/>
  <c r="T11" i="12" s="1"/>
  <c r="R11" i="11"/>
  <c r="S11" i="12" s="1"/>
  <c r="Q11" i="11"/>
  <c r="R11" i="12" s="1"/>
  <c r="AD11" i="12" s="1"/>
  <c r="P11" i="11"/>
  <c r="Q11" i="12" s="1"/>
  <c r="O11" i="11"/>
  <c r="P11" i="12" s="1"/>
  <c r="N11" i="11"/>
  <c r="O11" i="12" s="1"/>
  <c r="M11" i="11"/>
  <c r="N11" i="12" s="1"/>
  <c r="L11" i="11"/>
  <c r="M11" i="12" s="1"/>
  <c r="K11" i="11"/>
  <c r="L11" i="12" s="1"/>
  <c r="AC11" i="12" s="1"/>
  <c r="J11" i="11"/>
  <c r="K11" i="12" s="1"/>
  <c r="I11" i="11"/>
  <c r="J11" i="12" s="1"/>
  <c r="H11" i="11"/>
  <c r="I11" i="12" s="1"/>
  <c r="AB11" i="12" s="1"/>
  <c r="G11" i="11"/>
  <c r="H11" i="12" s="1"/>
  <c r="F11" i="11"/>
  <c r="G11" i="12" s="1"/>
  <c r="AA11" i="12" s="1"/>
  <c r="D11" i="11"/>
  <c r="C11" i="11"/>
  <c r="Z11" i="11" s="1"/>
  <c r="B11" i="11"/>
  <c r="X10" i="11"/>
  <c r="Y10" i="12" s="1"/>
  <c r="W10" i="11"/>
  <c r="X10" i="12" s="1"/>
  <c r="V10" i="11"/>
  <c r="W10" i="12" s="1"/>
  <c r="T10" i="11"/>
  <c r="U10" i="12" s="1"/>
  <c r="S10" i="11"/>
  <c r="T10" i="12" s="1"/>
  <c r="R10" i="11"/>
  <c r="S10" i="12" s="1"/>
  <c r="Q10" i="11"/>
  <c r="R10" i="12" s="1"/>
  <c r="AD10" i="12" s="1"/>
  <c r="P10" i="11"/>
  <c r="Q10" i="12" s="1"/>
  <c r="O10" i="11"/>
  <c r="P10" i="12" s="1"/>
  <c r="N10" i="11"/>
  <c r="O10" i="12" s="1"/>
  <c r="M10" i="11"/>
  <c r="N10" i="12" s="1"/>
  <c r="L10" i="11"/>
  <c r="M10" i="12" s="1"/>
  <c r="K10" i="11"/>
  <c r="L10" i="12" s="1"/>
  <c r="AC10" i="12" s="1"/>
  <c r="J10" i="11"/>
  <c r="K10" i="12" s="1"/>
  <c r="I10" i="11"/>
  <c r="J10" i="12" s="1"/>
  <c r="H10" i="11"/>
  <c r="I10" i="12" s="1"/>
  <c r="AB10" i="12" s="1"/>
  <c r="G10" i="11"/>
  <c r="H10" i="12" s="1"/>
  <c r="F10" i="11"/>
  <c r="G10" i="12" s="1"/>
  <c r="AA10" i="12" s="1"/>
  <c r="D10" i="11"/>
  <c r="C10" i="11"/>
  <c r="Z10" i="11" s="1"/>
  <c r="B10" i="11"/>
  <c r="X9" i="11"/>
  <c r="Y9" i="12" s="1"/>
  <c r="W9" i="11"/>
  <c r="X9" i="12" s="1"/>
  <c r="V9" i="11"/>
  <c r="W9" i="12" s="1"/>
  <c r="T9" i="11"/>
  <c r="U9" i="12" s="1"/>
  <c r="S9" i="11"/>
  <c r="T9" i="12" s="1"/>
  <c r="R9" i="11"/>
  <c r="S9" i="12" s="1"/>
  <c r="Q9" i="11"/>
  <c r="R9" i="12" s="1"/>
  <c r="AD9" i="12" s="1"/>
  <c r="P9" i="11"/>
  <c r="Q9" i="12" s="1"/>
  <c r="O9" i="11"/>
  <c r="P9" i="12" s="1"/>
  <c r="N9" i="11"/>
  <c r="O9" i="12" s="1"/>
  <c r="M9" i="11"/>
  <c r="N9" i="12" s="1"/>
  <c r="L9" i="11"/>
  <c r="M9" i="12" s="1"/>
  <c r="K9" i="11"/>
  <c r="L9" i="12" s="1"/>
  <c r="AC9" i="12" s="1"/>
  <c r="J9" i="11"/>
  <c r="K9" i="12" s="1"/>
  <c r="I9" i="11"/>
  <c r="J9" i="12" s="1"/>
  <c r="H9" i="11"/>
  <c r="I9" i="12" s="1"/>
  <c r="AB9" i="12" s="1"/>
  <c r="G9" i="11"/>
  <c r="H9" i="12" s="1"/>
  <c r="F9" i="11"/>
  <c r="G9" i="12" s="1"/>
  <c r="AA9" i="12" s="1"/>
  <c r="D9" i="11"/>
  <c r="C9" i="11"/>
  <c r="Z9" i="11" s="1"/>
  <c r="B9" i="11"/>
  <c r="X8" i="11"/>
  <c r="Y8" i="12" s="1"/>
  <c r="W8" i="11"/>
  <c r="X8" i="12" s="1"/>
  <c r="V8" i="11"/>
  <c r="W8" i="12" s="1"/>
  <c r="T8" i="11"/>
  <c r="U8" i="12" s="1"/>
  <c r="S8" i="11"/>
  <c r="T8" i="12" s="1"/>
  <c r="R8" i="11"/>
  <c r="S8" i="12" s="1"/>
  <c r="Q8" i="11"/>
  <c r="R8" i="12" s="1"/>
  <c r="AD8" i="12" s="1"/>
  <c r="P8" i="11"/>
  <c r="Q8" i="12" s="1"/>
  <c r="O8" i="11"/>
  <c r="P8" i="12" s="1"/>
  <c r="N8" i="11"/>
  <c r="O8" i="12" s="1"/>
  <c r="M8" i="11"/>
  <c r="N8" i="12" s="1"/>
  <c r="L8" i="11"/>
  <c r="M8" i="12" s="1"/>
  <c r="K8" i="11"/>
  <c r="L8" i="12" s="1"/>
  <c r="AC8" i="12" s="1"/>
  <c r="J8" i="11"/>
  <c r="K8" i="12" s="1"/>
  <c r="I8" i="11"/>
  <c r="J8" i="12" s="1"/>
  <c r="H8" i="11"/>
  <c r="AC8" i="11" s="1"/>
  <c r="G8" i="11"/>
  <c r="H8" i="12" s="1"/>
  <c r="F8" i="11"/>
  <c r="G8" i="12" s="1"/>
  <c r="AA8" i="12" s="1"/>
  <c r="D8" i="11"/>
  <c r="C8" i="11"/>
  <c r="Z8" i="11" s="1"/>
  <c r="B8" i="11"/>
  <c r="X7" i="11"/>
  <c r="Y7" i="12" s="1"/>
  <c r="W7" i="11"/>
  <c r="X7" i="12" s="1"/>
  <c r="V7" i="11"/>
  <c r="W7" i="12" s="1"/>
  <c r="T7" i="11"/>
  <c r="U7" i="12" s="1"/>
  <c r="S7" i="11"/>
  <c r="T7" i="12" s="1"/>
  <c r="R7" i="11"/>
  <c r="S7" i="12" s="1"/>
  <c r="Q7" i="11"/>
  <c r="R7" i="12" s="1"/>
  <c r="AD7" i="12" s="1"/>
  <c r="P7" i="11"/>
  <c r="Q7" i="12" s="1"/>
  <c r="O7" i="11"/>
  <c r="P7" i="12" s="1"/>
  <c r="N7" i="11"/>
  <c r="O7" i="12" s="1"/>
  <c r="M7" i="11"/>
  <c r="N7" i="12" s="1"/>
  <c r="L7" i="11"/>
  <c r="M7" i="12" s="1"/>
  <c r="K7" i="11"/>
  <c r="AD7" i="11" s="1"/>
  <c r="J7" i="11"/>
  <c r="K7" i="12" s="1"/>
  <c r="I7" i="11"/>
  <c r="J7" i="12" s="1"/>
  <c r="H7" i="11"/>
  <c r="I7" i="12" s="1"/>
  <c r="AB7" i="12" s="1"/>
  <c r="G7" i="11"/>
  <c r="H7" i="12" s="1"/>
  <c r="F7" i="11"/>
  <c r="G7" i="12" s="1"/>
  <c r="AA7" i="12" s="1"/>
  <c r="D7" i="11"/>
  <c r="C7" i="11"/>
  <c r="Z7" i="11" s="1"/>
  <c r="B7" i="11"/>
  <c r="AC6" i="11"/>
  <c r="X6" i="11"/>
  <c r="Y6" i="12" s="1"/>
  <c r="W6" i="11"/>
  <c r="X6" i="12" s="1"/>
  <c r="V6" i="11"/>
  <c r="W6" i="12" s="1"/>
  <c r="T6" i="11"/>
  <c r="U6" i="12" s="1"/>
  <c r="S6" i="11"/>
  <c r="T6" i="12" s="1"/>
  <c r="R6" i="11"/>
  <c r="S6" i="12" s="1"/>
  <c r="Q6" i="11"/>
  <c r="R6" i="12" s="1"/>
  <c r="AD6" i="12" s="1"/>
  <c r="P6" i="11"/>
  <c r="Q6" i="12" s="1"/>
  <c r="O6" i="11"/>
  <c r="P6" i="12" s="1"/>
  <c r="N6" i="11"/>
  <c r="O6" i="12" s="1"/>
  <c r="M6" i="11"/>
  <c r="N6" i="12" s="1"/>
  <c r="L6" i="11"/>
  <c r="M6" i="12" s="1"/>
  <c r="K6" i="11"/>
  <c r="L6" i="12" s="1"/>
  <c r="AC6" i="12" s="1"/>
  <c r="J6" i="11"/>
  <c r="K6" i="12" s="1"/>
  <c r="I6" i="11"/>
  <c r="J6" i="12" s="1"/>
  <c r="H6" i="11"/>
  <c r="I6" i="12" s="1"/>
  <c r="AB6" i="12" s="1"/>
  <c r="G6" i="11"/>
  <c r="H6" i="12" s="1"/>
  <c r="F6" i="11"/>
  <c r="G6" i="12" s="1"/>
  <c r="AA6" i="12" s="1"/>
  <c r="D6" i="11"/>
  <c r="C6" i="11"/>
  <c r="Z6" i="11" s="1"/>
  <c r="B6" i="11"/>
  <c r="AA5" i="11"/>
  <c r="X5" i="11"/>
  <c r="Y5" i="12" s="1"/>
  <c r="W5" i="11"/>
  <c r="X5" i="12" s="1"/>
  <c r="V5" i="11"/>
  <c r="W5" i="12" s="1"/>
  <c r="T5" i="11"/>
  <c r="U5" i="12" s="1"/>
  <c r="S5" i="11"/>
  <c r="T5" i="12" s="1"/>
  <c r="R5" i="11"/>
  <c r="S5" i="12" s="1"/>
  <c r="Q5" i="11"/>
  <c r="R5" i="12" s="1"/>
  <c r="AD5" i="12" s="1"/>
  <c r="P5" i="11"/>
  <c r="Q5" i="12" s="1"/>
  <c r="O5" i="11"/>
  <c r="P5" i="12" s="1"/>
  <c r="N5" i="11"/>
  <c r="O5" i="12" s="1"/>
  <c r="M5" i="11"/>
  <c r="N5" i="12" s="1"/>
  <c r="L5" i="11"/>
  <c r="M5" i="12" s="1"/>
  <c r="K5" i="11"/>
  <c r="AD5" i="11" s="1"/>
  <c r="J5" i="11"/>
  <c r="K5" i="12" s="1"/>
  <c r="I5" i="11"/>
  <c r="J5" i="12" s="1"/>
  <c r="H5" i="11"/>
  <c r="I5" i="12" s="1"/>
  <c r="AB5" i="12" s="1"/>
  <c r="G5" i="11"/>
  <c r="H5" i="12" s="1"/>
  <c r="F5" i="11"/>
  <c r="G5" i="12" s="1"/>
  <c r="AA5" i="12" s="1"/>
  <c r="D5" i="11"/>
  <c r="C5" i="11"/>
  <c r="Z5" i="11" s="1"/>
  <c r="B5" i="11"/>
  <c r="AE4" i="11"/>
  <c r="X4" i="11"/>
  <c r="Y4" i="12" s="1"/>
  <c r="W4" i="11"/>
  <c r="X4" i="12" s="1"/>
  <c r="V4" i="11"/>
  <c r="W4" i="12" s="1"/>
  <c r="T4" i="11"/>
  <c r="U4" i="12" s="1"/>
  <c r="S4" i="11"/>
  <c r="T4" i="12" s="1"/>
  <c r="R4" i="11"/>
  <c r="S4" i="12" s="1"/>
  <c r="Q4" i="11"/>
  <c r="R4" i="12" s="1"/>
  <c r="AD4" i="12" s="1"/>
  <c r="P4" i="11"/>
  <c r="Q4" i="12" s="1"/>
  <c r="O4" i="11"/>
  <c r="P4" i="12" s="1"/>
  <c r="N4" i="11"/>
  <c r="O4" i="12" s="1"/>
  <c r="M4" i="11"/>
  <c r="N4" i="12" s="1"/>
  <c r="L4" i="11"/>
  <c r="M4" i="12" s="1"/>
  <c r="K4" i="11"/>
  <c r="L4" i="12" s="1"/>
  <c r="AC4" i="12" s="1"/>
  <c r="J4" i="11"/>
  <c r="K4" i="12" s="1"/>
  <c r="I4" i="11"/>
  <c r="J4" i="12" s="1"/>
  <c r="H4" i="11"/>
  <c r="AC4" i="11" s="1"/>
  <c r="G4" i="11"/>
  <c r="H4" i="12" s="1"/>
  <c r="F4" i="11"/>
  <c r="G4" i="12" s="1"/>
  <c r="AA4" i="12" s="1"/>
  <c r="D4" i="11"/>
  <c r="C4" i="11"/>
  <c r="Z4" i="11" s="1"/>
  <c r="B4" i="11"/>
  <c r="AC3" i="11"/>
  <c r="X3" i="11"/>
  <c r="Y3" i="12" s="1"/>
  <c r="W3" i="11"/>
  <c r="X3" i="12" s="1"/>
  <c r="V3" i="11"/>
  <c r="W3" i="12" s="1"/>
  <c r="T3" i="11"/>
  <c r="U3" i="12" s="1"/>
  <c r="S3" i="11"/>
  <c r="T3" i="12" s="1"/>
  <c r="R3" i="11"/>
  <c r="S3" i="12" s="1"/>
  <c r="Q3" i="11"/>
  <c r="R3" i="12" s="1"/>
  <c r="AD3" i="12" s="1"/>
  <c r="P3" i="11"/>
  <c r="Q3" i="12" s="1"/>
  <c r="O3" i="11"/>
  <c r="P3" i="12" s="1"/>
  <c r="N3" i="11"/>
  <c r="O3" i="12" s="1"/>
  <c r="M3" i="11"/>
  <c r="N3" i="12" s="1"/>
  <c r="L3" i="11"/>
  <c r="M3" i="12" s="1"/>
  <c r="K3" i="11"/>
  <c r="L3" i="12" s="1"/>
  <c r="AC3" i="12" s="1"/>
  <c r="J3" i="11"/>
  <c r="K3" i="12" s="1"/>
  <c r="I3" i="11"/>
  <c r="J3" i="12" s="1"/>
  <c r="H3" i="11"/>
  <c r="I3" i="12" s="1"/>
  <c r="AB3" i="12" s="1"/>
  <c r="G3" i="11"/>
  <c r="H3" i="12" s="1"/>
  <c r="F3" i="11"/>
  <c r="AB3" i="11" s="1"/>
  <c r="D3" i="11"/>
  <c r="C3" i="11"/>
  <c r="AA3" i="11" s="1"/>
  <c r="B3" i="11"/>
  <c r="AA2" i="11"/>
  <c r="X2" i="11"/>
  <c r="Y2" i="12" s="1"/>
  <c r="W2" i="11"/>
  <c r="X2" i="12" s="1"/>
  <c r="V2" i="11"/>
  <c r="W2" i="12" s="1"/>
  <c r="T2" i="11"/>
  <c r="U2" i="12" s="1"/>
  <c r="S2" i="11"/>
  <c r="T2" i="12" s="1"/>
  <c r="R2" i="11"/>
  <c r="S2" i="12" s="1"/>
  <c r="Q2" i="11"/>
  <c r="AE2" i="11" s="1"/>
  <c r="P2" i="11"/>
  <c r="Q2" i="12" s="1"/>
  <c r="O2" i="11"/>
  <c r="P2" i="12" s="1"/>
  <c r="N2" i="11"/>
  <c r="O2" i="12" s="1"/>
  <c r="M2" i="11"/>
  <c r="N2" i="12" s="1"/>
  <c r="L2" i="11"/>
  <c r="M2" i="12" s="1"/>
  <c r="K2" i="11"/>
  <c r="L2" i="12" s="1"/>
  <c r="AC2" i="12" s="1"/>
  <c r="J2" i="11"/>
  <c r="K2" i="12" s="1"/>
  <c r="I2" i="11"/>
  <c r="J2" i="12" s="1"/>
  <c r="H2" i="11"/>
  <c r="AC2" i="11" s="1"/>
  <c r="G2" i="11"/>
  <c r="H2" i="12" s="1"/>
  <c r="F2" i="11"/>
  <c r="G2" i="12" s="1"/>
  <c r="AA2" i="12" s="1"/>
  <c r="D2" i="11"/>
  <c r="C2" i="11"/>
  <c r="Z2" i="11" s="1"/>
  <c r="B2" i="11"/>
  <c r="AC45" i="10"/>
  <c r="AB45" i="10"/>
  <c r="W45" i="10"/>
  <c r="V45" i="10"/>
  <c r="U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AA45" i="10" s="1"/>
  <c r="F45" i="10"/>
  <c r="E45" i="10"/>
  <c r="Z45" i="10" s="1"/>
  <c r="C45" i="10"/>
  <c r="B45" i="10"/>
  <c r="Y45" i="10" s="1"/>
  <c r="AC44" i="10"/>
  <c r="Z44" i="10"/>
  <c r="W44" i="10"/>
  <c r="V44" i="10"/>
  <c r="U44" i="10"/>
  <c r="S44" i="10"/>
  <c r="R44" i="10"/>
  <c r="Q44" i="10"/>
  <c r="P44" i="10"/>
  <c r="O44" i="10"/>
  <c r="N44" i="10"/>
  <c r="M44" i="10"/>
  <c r="L44" i="10"/>
  <c r="K44" i="10"/>
  <c r="J44" i="10"/>
  <c r="AB44" i="10" s="1"/>
  <c r="I44" i="10"/>
  <c r="H44" i="10"/>
  <c r="G44" i="10"/>
  <c r="AA44" i="10" s="1"/>
  <c r="F44" i="10"/>
  <c r="E44" i="10"/>
  <c r="C44" i="10"/>
  <c r="B44" i="10"/>
  <c r="Y44" i="10" s="1"/>
  <c r="AA43" i="10"/>
  <c r="Z43" i="10"/>
  <c r="W43" i="10"/>
  <c r="V43" i="10"/>
  <c r="U43" i="10"/>
  <c r="S43" i="10"/>
  <c r="R43" i="10"/>
  <c r="Q43" i="10"/>
  <c r="P43" i="10"/>
  <c r="AC43" i="10" s="1"/>
  <c r="O43" i="10"/>
  <c r="N43" i="10"/>
  <c r="M43" i="10"/>
  <c r="L43" i="10"/>
  <c r="K43" i="10"/>
  <c r="J43" i="10"/>
  <c r="AB43" i="10" s="1"/>
  <c r="I43" i="10"/>
  <c r="H43" i="10"/>
  <c r="G43" i="10"/>
  <c r="F43" i="10"/>
  <c r="E43" i="10"/>
  <c r="C43" i="10"/>
  <c r="B43" i="10"/>
  <c r="Y43" i="10" s="1"/>
  <c r="AA42" i="10"/>
  <c r="W42" i="10"/>
  <c r="V42" i="10"/>
  <c r="U42" i="10"/>
  <c r="S42" i="10"/>
  <c r="R42" i="10"/>
  <c r="Q42" i="10"/>
  <c r="P42" i="10"/>
  <c r="AC42" i="10" s="1"/>
  <c r="O42" i="10"/>
  <c r="N42" i="10"/>
  <c r="M42" i="10"/>
  <c r="L42" i="10"/>
  <c r="K42" i="10"/>
  <c r="J42" i="10"/>
  <c r="AB42" i="10" s="1"/>
  <c r="I42" i="10"/>
  <c r="H42" i="10"/>
  <c r="G42" i="10"/>
  <c r="F42" i="10"/>
  <c r="E42" i="10"/>
  <c r="Z42" i="10" s="1"/>
  <c r="C42" i="10"/>
  <c r="B42" i="10"/>
  <c r="Y42" i="10" s="1"/>
  <c r="AC39" i="10"/>
  <c r="AB39" i="10"/>
  <c r="W39" i="10"/>
  <c r="V39" i="10"/>
  <c r="U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A39" i="10" s="1"/>
  <c r="F39" i="10"/>
  <c r="E39" i="10"/>
  <c r="Z39" i="10" s="1"/>
  <c r="C39" i="10"/>
  <c r="B39" i="10"/>
  <c r="Y39" i="10" s="1"/>
  <c r="AC38" i="10"/>
  <c r="Z38" i="10"/>
  <c r="W38" i="10"/>
  <c r="V38" i="10"/>
  <c r="U38" i="10"/>
  <c r="S38" i="10"/>
  <c r="R38" i="10"/>
  <c r="Q38" i="10"/>
  <c r="P38" i="10"/>
  <c r="O38" i="10"/>
  <c r="N38" i="10"/>
  <c r="M38" i="10"/>
  <c r="L38" i="10"/>
  <c r="K38" i="10"/>
  <c r="J38" i="10"/>
  <c r="AB38" i="10" s="1"/>
  <c r="I38" i="10"/>
  <c r="H38" i="10"/>
  <c r="G38" i="10"/>
  <c r="AA38" i="10" s="1"/>
  <c r="F38" i="10"/>
  <c r="E38" i="10"/>
  <c r="C38" i="10"/>
  <c r="B38" i="10"/>
  <c r="Y38" i="10" s="1"/>
  <c r="AA35" i="10"/>
  <c r="Z35" i="10"/>
  <c r="W35" i="10"/>
  <c r="V35" i="10"/>
  <c r="U35" i="10"/>
  <c r="S35" i="10"/>
  <c r="R35" i="10"/>
  <c r="Q35" i="10"/>
  <c r="P35" i="10"/>
  <c r="AC35" i="10" s="1"/>
  <c r="O35" i="10"/>
  <c r="N35" i="10"/>
  <c r="M35" i="10"/>
  <c r="L35" i="10"/>
  <c r="K35" i="10"/>
  <c r="J35" i="10"/>
  <c r="AB35" i="10" s="1"/>
  <c r="I35" i="10"/>
  <c r="H35" i="10"/>
  <c r="G35" i="10"/>
  <c r="F35" i="10"/>
  <c r="E35" i="10"/>
  <c r="C35" i="10"/>
  <c r="B35" i="10"/>
  <c r="Y35" i="10" s="1"/>
  <c r="AA34" i="10"/>
  <c r="W34" i="10"/>
  <c r="V34" i="10"/>
  <c r="U34" i="10"/>
  <c r="S34" i="10"/>
  <c r="R34" i="10"/>
  <c r="Q34" i="10"/>
  <c r="P34" i="10"/>
  <c r="AC34" i="10" s="1"/>
  <c r="O34" i="10"/>
  <c r="N34" i="10"/>
  <c r="M34" i="10"/>
  <c r="L34" i="10"/>
  <c r="K34" i="10"/>
  <c r="J34" i="10"/>
  <c r="AB34" i="10" s="1"/>
  <c r="I34" i="10"/>
  <c r="H34" i="10"/>
  <c r="G34" i="10"/>
  <c r="F34" i="10"/>
  <c r="E34" i="10"/>
  <c r="Z34" i="10" s="1"/>
  <c r="C34" i="10"/>
  <c r="B34" i="10"/>
  <c r="Y34" i="10" s="1"/>
  <c r="AC33" i="10"/>
  <c r="AB33" i="10"/>
  <c r="W33" i="10"/>
  <c r="V33" i="10"/>
  <c r="U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A33" i="10" s="1"/>
  <c r="F33" i="10"/>
  <c r="E33" i="10"/>
  <c r="Z33" i="10" s="1"/>
  <c r="C33" i="10"/>
  <c r="B33" i="10"/>
  <c r="Y33" i="10" s="1"/>
  <c r="Z32" i="10"/>
  <c r="W32" i="10"/>
  <c r="V32" i="10"/>
  <c r="U32" i="10"/>
  <c r="S32" i="10"/>
  <c r="R32" i="10"/>
  <c r="Q32" i="10"/>
  <c r="P32" i="10"/>
  <c r="AC32" i="10" s="1"/>
  <c r="O32" i="10"/>
  <c r="N32" i="10"/>
  <c r="M32" i="10"/>
  <c r="L32" i="10"/>
  <c r="K32" i="10"/>
  <c r="J32" i="10"/>
  <c r="AB32" i="10" s="1"/>
  <c r="I32" i="10"/>
  <c r="H32" i="10"/>
  <c r="G32" i="10"/>
  <c r="AA32" i="10" s="1"/>
  <c r="F32" i="10"/>
  <c r="E32" i="10"/>
  <c r="C32" i="10"/>
  <c r="B32" i="10"/>
  <c r="Y32" i="10" s="1"/>
  <c r="AA31" i="10"/>
  <c r="Z31" i="10"/>
  <c r="W31" i="10"/>
  <c r="V31" i="10"/>
  <c r="U31" i="10"/>
  <c r="S31" i="10"/>
  <c r="R31" i="10"/>
  <c r="Q31" i="10"/>
  <c r="P31" i="10"/>
  <c r="AC31" i="10" s="1"/>
  <c r="O31" i="10"/>
  <c r="N31" i="10"/>
  <c r="M31" i="10"/>
  <c r="L31" i="10"/>
  <c r="K31" i="10"/>
  <c r="J31" i="10"/>
  <c r="AB31" i="10" s="1"/>
  <c r="I31" i="10"/>
  <c r="H31" i="10"/>
  <c r="G31" i="10"/>
  <c r="F31" i="10"/>
  <c r="E31" i="10"/>
  <c r="C31" i="10"/>
  <c r="B31" i="10"/>
  <c r="Y31" i="10" s="1"/>
  <c r="AA30" i="10"/>
  <c r="W30" i="10"/>
  <c r="V30" i="10"/>
  <c r="U30" i="10"/>
  <c r="S30" i="10"/>
  <c r="R30" i="10"/>
  <c r="Q30" i="10"/>
  <c r="P30" i="10"/>
  <c r="AC30" i="10" s="1"/>
  <c r="O30" i="10"/>
  <c r="N30" i="10"/>
  <c r="M30" i="10"/>
  <c r="L30" i="10"/>
  <c r="K30" i="10"/>
  <c r="J30" i="10"/>
  <c r="AB30" i="10" s="1"/>
  <c r="I30" i="10"/>
  <c r="H30" i="10"/>
  <c r="G30" i="10"/>
  <c r="F30" i="10"/>
  <c r="E30" i="10"/>
  <c r="Z30" i="10" s="1"/>
  <c r="C30" i="10"/>
  <c r="B30" i="10"/>
  <c r="Y30" i="10" s="1"/>
  <c r="AC29" i="10"/>
  <c r="W29" i="10"/>
  <c r="V29" i="10"/>
  <c r="U29" i="10"/>
  <c r="S29" i="10"/>
  <c r="R29" i="10"/>
  <c r="Q29" i="10"/>
  <c r="P29" i="10"/>
  <c r="O29" i="10"/>
  <c r="N29" i="10"/>
  <c r="M29" i="10"/>
  <c r="L29" i="10"/>
  <c r="K29" i="10"/>
  <c r="J29" i="10"/>
  <c r="AB29" i="10" s="1"/>
  <c r="I29" i="10"/>
  <c r="H29" i="10"/>
  <c r="G29" i="10"/>
  <c r="AA29" i="10" s="1"/>
  <c r="F29" i="10"/>
  <c r="E29" i="10"/>
  <c r="Z29" i="10" s="1"/>
  <c r="C29" i="10"/>
  <c r="B29" i="10"/>
  <c r="Y29" i="10" s="1"/>
  <c r="AC26" i="10"/>
  <c r="Z26" i="10"/>
  <c r="W26" i="10"/>
  <c r="V26" i="10"/>
  <c r="U26" i="10"/>
  <c r="S26" i="10"/>
  <c r="R26" i="10"/>
  <c r="Q26" i="10"/>
  <c r="P26" i="10"/>
  <c r="O26" i="10"/>
  <c r="N26" i="10"/>
  <c r="M26" i="10"/>
  <c r="L26" i="10"/>
  <c r="K26" i="10"/>
  <c r="J26" i="10"/>
  <c r="AB26" i="10" s="1"/>
  <c r="I26" i="10"/>
  <c r="H26" i="10"/>
  <c r="G26" i="10"/>
  <c r="AA26" i="10" s="1"/>
  <c r="F26" i="10"/>
  <c r="E26" i="10"/>
  <c r="C26" i="10"/>
  <c r="B26" i="10"/>
  <c r="Y26" i="10" s="1"/>
  <c r="AA25" i="10"/>
  <c r="W25" i="10"/>
  <c r="V25" i="10"/>
  <c r="U25" i="10"/>
  <c r="S25" i="10"/>
  <c r="R25" i="10"/>
  <c r="Q25" i="10"/>
  <c r="P25" i="10"/>
  <c r="AC25" i="10" s="1"/>
  <c r="O25" i="10"/>
  <c r="N25" i="10"/>
  <c r="M25" i="10"/>
  <c r="L25" i="10"/>
  <c r="K25" i="10"/>
  <c r="J25" i="10"/>
  <c r="AB25" i="10" s="1"/>
  <c r="I25" i="10"/>
  <c r="H25" i="10"/>
  <c r="G25" i="10"/>
  <c r="F25" i="10"/>
  <c r="E25" i="10"/>
  <c r="Z25" i="10" s="1"/>
  <c r="C25" i="10"/>
  <c r="B25" i="10"/>
  <c r="Y25" i="10" s="1"/>
  <c r="AA24" i="10"/>
  <c r="W24" i="10"/>
  <c r="V24" i="10"/>
  <c r="U24" i="10"/>
  <c r="S24" i="10"/>
  <c r="R24" i="10"/>
  <c r="Q24" i="10"/>
  <c r="P24" i="10"/>
  <c r="AC24" i="10" s="1"/>
  <c r="O24" i="10"/>
  <c r="N24" i="10"/>
  <c r="M24" i="10"/>
  <c r="L24" i="10"/>
  <c r="K24" i="10"/>
  <c r="J24" i="10"/>
  <c r="AB24" i="10" s="1"/>
  <c r="I24" i="10"/>
  <c r="H24" i="10"/>
  <c r="G24" i="10"/>
  <c r="F24" i="10"/>
  <c r="E24" i="10"/>
  <c r="Z24" i="10" s="1"/>
  <c r="C24" i="10"/>
  <c r="B24" i="10"/>
  <c r="Y24" i="10" s="1"/>
  <c r="AC23" i="10"/>
  <c r="W23" i="10"/>
  <c r="V23" i="10"/>
  <c r="U23" i="10"/>
  <c r="S23" i="10"/>
  <c r="R23" i="10"/>
  <c r="Q23" i="10"/>
  <c r="P23" i="10"/>
  <c r="O23" i="10"/>
  <c r="N23" i="10"/>
  <c r="M23" i="10"/>
  <c r="L23" i="10"/>
  <c r="K23" i="10"/>
  <c r="J23" i="10"/>
  <c r="AB23" i="10" s="1"/>
  <c r="I23" i="10"/>
  <c r="H23" i="10"/>
  <c r="G23" i="10"/>
  <c r="AA23" i="10" s="1"/>
  <c r="F23" i="10"/>
  <c r="E23" i="10"/>
  <c r="Z23" i="10" s="1"/>
  <c r="C23" i="10"/>
  <c r="B23" i="10"/>
  <c r="Y23" i="10" s="1"/>
  <c r="Z22" i="10"/>
  <c r="W22" i="10"/>
  <c r="V22" i="10"/>
  <c r="U22" i="10"/>
  <c r="S22" i="10"/>
  <c r="R22" i="10"/>
  <c r="Q22" i="10"/>
  <c r="P22" i="10"/>
  <c r="AC22" i="10" s="1"/>
  <c r="O22" i="10"/>
  <c r="N22" i="10"/>
  <c r="M22" i="10"/>
  <c r="L22" i="10"/>
  <c r="K22" i="10"/>
  <c r="J22" i="10"/>
  <c r="AB22" i="10" s="1"/>
  <c r="I22" i="10"/>
  <c r="H22" i="10"/>
  <c r="G22" i="10"/>
  <c r="AA22" i="10" s="1"/>
  <c r="F22" i="10"/>
  <c r="E22" i="10"/>
  <c r="C22" i="10"/>
  <c r="B22" i="10"/>
  <c r="Y22" i="10" s="1"/>
  <c r="AA21" i="10"/>
  <c r="W21" i="10"/>
  <c r="V21" i="10"/>
  <c r="U21" i="10"/>
  <c r="S21" i="10"/>
  <c r="R21" i="10"/>
  <c r="Q21" i="10"/>
  <c r="P21" i="10"/>
  <c r="AC21" i="10" s="1"/>
  <c r="O21" i="10"/>
  <c r="N21" i="10"/>
  <c r="M21" i="10"/>
  <c r="L21" i="10"/>
  <c r="K21" i="10"/>
  <c r="J21" i="10"/>
  <c r="AB21" i="10" s="1"/>
  <c r="I21" i="10"/>
  <c r="H21" i="10"/>
  <c r="G21" i="10"/>
  <c r="F21" i="10"/>
  <c r="E21" i="10"/>
  <c r="Z21" i="10" s="1"/>
  <c r="C21" i="10"/>
  <c r="B21" i="10"/>
  <c r="Y21" i="10" s="1"/>
  <c r="AA20" i="10"/>
  <c r="W20" i="10"/>
  <c r="V20" i="10"/>
  <c r="U20" i="10"/>
  <c r="S20" i="10"/>
  <c r="R20" i="10"/>
  <c r="Q20" i="10"/>
  <c r="P20" i="10"/>
  <c r="AC20" i="10" s="1"/>
  <c r="O20" i="10"/>
  <c r="N20" i="10"/>
  <c r="M20" i="10"/>
  <c r="L20" i="10"/>
  <c r="K20" i="10"/>
  <c r="J20" i="10"/>
  <c r="AB20" i="10" s="1"/>
  <c r="I20" i="10"/>
  <c r="H20" i="10"/>
  <c r="G20" i="10"/>
  <c r="F20" i="10"/>
  <c r="E20" i="10"/>
  <c r="Z20" i="10" s="1"/>
  <c r="C20" i="10"/>
  <c r="B20" i="10"/>
  <c r="Y20" i="10" s="1"/>
  <c r="AC17" i="10"/>
  <c r="W17" i="10"/>
  <c r="V17" i="10"/>
  <c r="U17" i="10"/>
  <c r="S17" i="10"/>
  <c r="R17" i="10"/>
  <c r="Q17" i="10"/>
  <c r="P17" i="10"/>
  <c r="O17" i="10"/>
  <c r="N17" i="10"/>
  <c r="M17" i="10"/>
  <c r="L17" i="10"/>
  <c r="K17" i="10"/>
  <c r="J17" i="10"/>
  <c r="AB17" i="10" s="1"/>
  <c r="I17" i="10"/>
  <c r="H17" i="10"/>
  <c r="G17" i="10"/>
  <c r="AA17" i="10" s="1"/>
  <c r="F17" i="10"/>
  <c r="E17" i="10"/>
  <c r="Z17" i="10" s="1"/>
  <c r="C17" i="10"/>
  <c r="B17" i="10"/>
  <c r="AC16" i="10"/>
  <c r="AB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A16" i="10" s="1"/>
  <c r="F16" i="10"/>
  <c r="E16" i="10"/>
  <c r="Z16" i="10" s="1"/>
  <c r="C16" i="10"/>
  <c r="B16" i="10"/>
  <c r="Y16" i="10" s="1"/>
  <c r="Z15" i="10"/>
  <c r="W15" i="10"/>
  <c r="V15" i="10"/>
  <c r="U15" i="10"/>
  <c r="S15" i="10"/>
  <c r="R15" i="10"/>
  <c r="Q15" i="10"/>
  <c r="P15" i="10"/>
  <c r="AC15" i="10" s="1"/>
  <c r="O15" i="10"/>
  <c r="N15" i="10"/>
  <c r="M15" i="10"/>
  <c r="L15" i="10"/>
  <c r="K15" i="10"/>
  <c r="J15" i="10"/>
  <c r="AB15" i="10" s="1"/>
  <c r="I15" i="10"/>
  <c r="H15" i="10"/>
  <c r="G15" i="10"/>
  <c r="AA15" i="10" s="1"/>
  <c r="F15" i="10"/>
  <c r="E15" i="10"/>
  <c r="C15" i="10"/>
  <c r="B15" i="10"/>
  <c r="Y15" i="10" s="1"/>
  <c r="AA14" i="10"/>
  <c r="R14" i="10"/>
  <c r="Q14" i="10"/>
  <c r="P14" i="10"/>
  <c r="AC14" i="10" s="1"/>
  <c r="O14" i="10"/>
  <c r="N14" i="10"/>
  <c r="M14" i="10"/>
  <c r="L14" i="10"/>
  <c r="K14" i="10"/>
  <c r="J14" i="10"/>
  <c r="AB14" i="10" s="1"/>
  <c r="I14" i="10"/>
  <c r="H14" i="10"/>
  <c r="G14" i="10"/>
  <c r="F14" i="10"/>
  <c r="E14" i="10"/>
  <c r="Z14" i="10" s="1"/>
  <c r="C14" i="10"/>
  <c r="B14" i="10"/>
  <c r="Y14" i="10" s="1"/>
  <c r="AA11" i="10"/>
  <c r="W11" i="10"/>
  <c r="V11" i="10"/>
  <c r="U11" i="10"/>
  <c r="S11" i="10"/>
  <c r="R11" i="10"/>
  <c r="Q11" i="10"/>
  <c r="P11" i="10"/>
  <c r="AC11" i="10" s="1"/>
  <c r="O11" i="10"/>
  <c r="N11" i="10"/>
  <c r="M11" i="10"/>
  <c r="L11" i="10"/>
  <c r="K11" i="10"/>
  <c r="J11" i="10"/>
  <c r="AB11" i="10" s="1"/>
  <c r="I11" i="10"/>
  <c r="H11" i="10"/>
  <c r="G11" i="10"/>
  <c r="F11" i="10"/>
  <c r="E11" i="10"/>
  <c r="Z11" i="10" s="1"/>
  <c r="C11" i="10"/>
  <c r="B11" i="10"/>
  <c r="Y11" i="10" s="1"/>
  <c r="AC10" i="10"/>
  <c r="W10" i="10"/>
  <c r="V10" i="10"/>
  <c r="U10" i="10"/>
  <c r="S10" i="10"/>
  <c r="R10" i="10"/>
  <c r="Q10" i="10"/>
  <c r="P10" i="10"/>
  <c r="O10" i="10"/>
  <c r="N10" i="10"/>
  <c r="M10" i="10"/>
  <c r="L10" i="10"/>
  <c r="K10" i="10"/>
  <c r="J10" i="10"/>
  <c r="AB10" i="10" s="1"/>
  <c r="I10" i="10"/>
  <c r="H10" i="10"/>
  <c r="G10" i="10"/>
  <c r="AA10" i="10" s="1"/>
  <c r="F10" i="10"/>
  <c r="E10" i="10"/>
  <c r="Z10" i="10" s="1"/>
  <c r="C10" i="10"/>
  <c r="B10" i="10"/>
  <c r="Y10" i="10" s="1"/>
  <c r="Z9" i="10"/>
  <c r="W9" i="10"/>
  <c r="V9" i="10"/>
  <c r="U9" i="10"/>
  <c r="S9" i="10"/>
  <c r="R9" i="10"/>
  <c r="Q9" i="10"/>
  <c r="P9" i="10"/>
  <c r="AC9" i="10" s="1"/>
  <c r="O9" i="10"/>
  <c r="N9" i="10"/>
  <c r="M9" i="10"/>
  <c r="L9" i="10"/>
  <c r="K9" i="10"/>
  <c r="J9" i="10"/>
  <c r="AB9" i="10" s="1"/>
  <c r="I9" i="10"/>
  <c r="H9" i="10"/>
  <c r="G9" i="10"/>
  <c r="AA9" i="10" s="1"/>
  <c r="F9" i="10"/>
  <c r="E9" i="10"/>
  <c r="C9" i="10"/>
  <c r="B9" i="10"/>
  <c r="Y9" i="10" s="1"/>
  <c r="AA8" i="10"/>
  <c r="Z8" i="10"/>
  <c r="W8" i="10"/>
  <c r="V8" i="10"/>
  <c r="U8" i="10"/>
  <c r="S8" i="10"/>
  <c r="R8" i="10"/>
  <c r="Q8" i="10"/>
  <c r="P8" i="10"/>
  <c r="AC8" i="10" s="1"/>
  <c r="O8" i="10"/>
  <c r="N8" i="10"/>
  <c r="M8" i="10"/>
  <c r="L8" i="10"/>
  <c r="K8" i="10"/>
  <c r="J8" i="10"/>
  <c r="AB8" i="10" s="1"/>
  <c r="I8" i="10"/>
  <c r="H8" i="10"/>
  <c r="G8" i="10"/>
  <c r="F8" i="10"/>
  <c r="E8" i="10"/>
  <c r="C8" i="10"/>
  <c r="B8" i="10"/>
  <c r="Y8" i="10" s="1"/>
  <c r="AB7" i="10"/>
  <c r="AA7" i="10"/>
  <c r="W7" i="10"/>
  <c r="V7" i="10"/>
  <c r="U7" i="10"/>
  <c r="S7" i="10"/>
  <c r="R7" i="10"/>
  <c r="Q7" i="10"/>
  <c r="P7" i="10"/>
  <c r="AC7" i="10" s="1"/>
  <c r="O7" i="10"/>
  <c r="N7" i="10"/>
  <c r="M7" i="10"/>
  <c r="L7" i="10"/>
  <c r="K7" i="10"/>
  <c r="J7" i="10"/>
  <c r="I7" i="10"/>
  <c r="H7" i="10"/>
  <c r="G7" i="10"/>
  <c r="F7" i="10"/>
  <c r="E7" i="10"/>
  <c r="Z7" i="10" s="1"/>
  <c r="C7" i="10"/>
  <c r="B7" i="10"/>
  <c r="Y7" i="10" s="1"/>
  <c r="AC6" i="10"/>
  <c r="AB6" i="10"/>
  <c r="W6" i="10"/>
  <c r="V6" i="10"/>
  <c r="U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AA6" i="10" s="1"/>
  <c r="F6" i="10"/>
  <c r="E6" i="10"/>
  <c r="Z6" i="10" s="1"/>
  <c r="C6" i="10"/>
  <c r="B6" i="10"/>
  <c r="Y6" i="10" s="1"/>
  <c r="Z5" i="10"/>
  <c r="W5" i="10"/>
  <c r="V5" i="10"/>
  <c r="U5" i="10"/>
  <c r="S5" i="10"/>
  <c r="R5" i="10"/>
  <c r="Q5" i="10"/>
  <c r="P5" i="10"/>
  <c r="AC5" i="10" s="1"/>
  <c r="O5" i="10"/>
  <c r="N5" i="10"/>
  <c r="M5" i="10"/>
  <c r="L5" i="10"/>
  <c r="K5" i="10"/>
  <c r="J5" i="10"/>
  <c r="AB5" i="10" s="1"/>
  <c r="I5" i="10"/>
  <c r="H5" i="10"/>
  <c r="G5" i="10"/>
  <c r="AA5" i="10" s="1"/>
  <c r="F5" i="10"/>
  <c r="E5" i="10"/>
  <c r="C5" i="10"/>
  <c r="B5" i="10"/>
  <c r="Y5" i="10" s="1"/>
  <c r="AA4" i="10"/>
  <c r="W4" i="10"/>
  <c r="V4" i="10"/>
  <c r="U4" i="10"/>
  <c r="S4" i="10"/>
  <c r="R4" i="10"/>
  <c r="Q4" i="10"/>
  <c r="P4" i="10"/>
  <c r="AC4" i="10" s="1"/>
  <c r="O4" i="10"/>
  <c r="N4" i="10"/>
  <c r="M4" i="10"/>
  <c r="L4" i="10"/>
  <c r="K4" i="10"/>
  <c r="J4" i="10"/>
  <c r="AB4" i="10" s="1"/>
  <c r="I4" i="10"/>
  <c r="H4" i="10"/>
  <c r="G4" i="10"/>
  <c r="F4" i="10"/>
  <c r="E4" i="10"/>
  <c r="Z4" i="10" s="1"/>
  <c r="C4" i="10"/>
  <c r="B4" i="10"/>
  <c r="Y4" i="10" s="1"/>
  <c r="AA3" i="10"/>
  <c r="W3" i="10"/>
  <c r="V3" i="10"/>
  <c r="U3" i="10"/>
  <c r="S3" i="10"/>
  <c r="R3" i="10"/>
  <c r="Q3" i="10"/>
  <c r="P3" i="10"/>
  <c r="AC3" i="10" s="1"/>
  <c r="O3" i="10"/>
  <c r="N3" i="10"/>
  <c r="M3" i="10"/>
  <c r="L3" i="10"/>
  <c r="K3" i="10"/>
  <c r="J3" i="10"/>
  <c r="AB3" i="10" s="1"/>
  <c r="I3" i="10"/>
  <c r="H3" i="10"/>
  <c r="G3" i="10"/>
  <c r="F3" i="10"/>
  <c r="E3" i="10"/>
  <c r="Z3" i="10" s="1"/>
  <c r="C3" i="10"/>
  <c r="B3" i="10"/>
  <c r="Y3" i="10" s="1"/>
  <c r="AC2" i="10"/>
  <c r="W2" i="10"/>
  <c r="V2" i="10"/>
  <c r="U2" i="10"/>
  <c r="S2" i="10"/>
  <c r="R2" i="10"/>
  <c r="Q2" i="10"/>
  <c r="P2" i="10"/>
  <c r="O2" i="10"/>
  <c r="N2" i="10"/>
  <c r="M2" i="10"/>
  <c r="L2" i="10"/>
  <c r="K2" i="10"/>
  <c r="J2" i="10"/>
  <c r="AB2" i="10" s="1"/>
  <c r="I2" i="10"/>
  <c r="H2" i="10"/>
  <c r="G2" i="10"/>
  <c r="AA2" i="10" s="1"/>
  <c r="F2" i="10"/>
  <c r="E2" i="10"/>
  <c r="Z2" i="10" s="1"/>
  <c r="C2" i="10"/>
  <c r="B2" i="10"/>
  <c r="Y2" i="10" s="1"/>
  <c r="G45" i="9"/>
  <c r="H45" i="9" s="1"/>
  <c r="D45" i="9"/>
  <c r="C45" i="9"/>
  <c r="B45" i="9"/>
  <c r="I44" i="9"/>
  <c r="H44" i="9"/>
  <c r="G44" i="9"/>
  <c r="D44" i="9"/>
  <c r="C44" i="9"/>
  <c r="H43" i="9"/>
  <c r="G43" i="9"/>
  <c r="D43" i="9"/>
  <c r="C43" i="9"/>
  <c r="G42" i="9"/>
  <c r="D42" i="9"/>
  <c r="C42" i="9"/>
  <c r="B42" i="9"/>
  <c r="I39" i="9"/>
  <c r="H39" i="9"/>
  <c r="G39" i="9"/>
  <c r="D39" i="9"/>
  <c r="C39" i="9"/>
  <c r="H38" i="9"/>
  <c r="G38" i="9"/>
  <c r="D38" i="9"/>
  <c r="C38" i="9"/>
  <c r="I35" i="9"/>
  <c r="H35" i="9"/>
  <c r="G35" i="9"/>
  <c r="D35" i="9"/>
  <c r="C35" i="9"/>
  <c r="H34" i="9"/>
  <c r="I34" i="9" s="1"/>
  <c r="G34" i="9"/>
  <c r="D34" i="9"/>
  <c r="C34" i="9"/>
  <c r="I33" i="9"/>
  <c r="J33" i="9" s="1"/>
  <c r="H33" i="9"/>
  <c r="G33" i="9"/>
  <c r="D33" i="9"/>
  <c r="C33" i="9"/>
  <c r="H32" i="9"/>
  <c r="I32" i="9" s="1"/>
  <c r="G32" i="9"/>
  <c r="D32" i="9"/>
  <c r="C32" i="9"/>
  <c r="I31" i="9"/>
  <c r="H31" i="9"/>
  <c r="G31" i="9"/>
  <c r="D31" i="9"/>
  <c r="C31" i="9"/>
  <c r="H30" i="9"/>
  <c r="I30" i="9" s="1"/>
  <c r="G30" i="9"/>
  <c r="D30" i="9"/>
  <c r="C30" i="9"/>
  <c r="I29" i="9"/>
  <c r="H29" i="9"/>
  <c r="G29" i="9"/>
  <c r="D29" i="9"/>
  <c r="C29" i="9"/>
  <c r="H26" i="9"/>
  <c r="G26" i="9"/>
  <c r="D26" i="9"/>
  <c r="C26" i="9"/>
  <c r="I25" i="9"/>
  <c r="H25" i="9"/>
  <c r="G25" i="9"/>
  <c r="D25" i="9"/>
  <c r="C25" i="9"/>
  <c r="H24" i="9"/>
  <c r="G24" i="9"/>
  <c r="D24" i="9"/>
  <c r="C24" i="9"/>
  <c r="I23" i="9"/>
  <c r="H23" i="9"/>
  <c r="G23" i="9"/>
  <c r="D23" i="9"/>
  <c r="C23" i="9"/>
  <c r="H22" i="9"/>
  <c r="G22" i="9"/>
  <c r="D22" i="9"/>
  <c r="C22" i="9"/>
  <c r="I21" i="9"/>
  <c r="H21" i="9"/>
  <c r="G21" i="9"/>
  <c r="D21" i="9"/>
  <c r="C21" i="9"/>
  <c r="H20" i="9"/>
  <c r="G20" i="9"/>
  <c r="D20" i="9"/>
  <c r="C20" i="9"/>
  <c r="I17" i="9"/>
  <c r="H17" i="9"/>
  <c r="G17" i="9"/>
  <c r="D17" i="9"/>
  <c r="C17" i="9"/>
  <c r="H16" i="9"/>
  <c r="D16" i="9"/>
  <c r="C16" i="9"/>
  <c r="B16" i="9"/>
  <c r="G16" i="9" s="1"/>
  <c r="J15" i="9"/>
  <c r="G15" i="9"/>
  <c r="H15" i="9" s="1"/>
  <c r="I15" i="9" s="1"/>
  <c r="D15" i="9"/>
  <c r="C15" i="9"/>
  <c r="B15" i="9"/>
  <c r="G14" i="9"/>
  <c r="D14" i="9"/>
  <c r="C14" i="9"/>
  <c r="B14" i="9"/>
  <c r="H11" i="9"/>
  <c r="I11" i="9" s="1"/>
  <c r="G11" i="9"/>
  <c r="D11" i="9"/>
  <c r="C11" i="9"/>
  <c r="I10" i="9"/>
  <c r="J10" i="9" s="1"/>
  <c r="H10" i="9"/>
  <c r="G10" i="9"/>
  <c r="D10" i="9"/>
  <c r="C10" i="9"/>
  <c r="G9" i="9"/>
  <c r="H9" i="9" s="1"/>
  <c r="D9" i="9"/>
  <c r="C9" i="9"/>
  <c r="H8" i="9"/>
  <c r="G8" i="9"/>
  <c r="D8" i="9"/>
  <c r="C8" i="9"/>
  <c r="J7" i="9"/>
  <c r="K7" i="9" s="1"/>
  <c r="G7" i="9"/>
  <c r="H7" i="9" s="1"/>
  <c r="I7" i="9" s="1"/>
  <c r="D7" i="9"/>
  <c r="C7" i="9"/>
  <c r="G6" i="9"/>
  <c r="H6" i="9" s="1"/>
  <c r="I6" i="9" s="1"/>
  <c r="J6" i="9" s="1"/>
  <c r="D6" i="9"/>
  <c r="C6" i="9"/>
  <c r="G5" i="9"/>
  <c r="H5" i="9" s="1"/>
  <c r="I5" i="9" s="1"/>
  <c r="D5" i="9"/>
  <c r="C5" i="9"/>
  <c r="G4" i="9"/>
  <c r="D4" i="9"/>
  <c r="C4" i="9"/>
  <c r="G3" i="9"/>
  <c r="H3" i="9" s="1"/>
  <c r="D3" i="9"/>
  <c r="C3" i="9"/>
  <c r="G2" i="9"/>
  <c r="D2" i="9"/>
  <c r="C2" i="9"/>
  <c r="D45" i="8"/>
  <c r="C45" i="8"/>
  <c r="B45" i="8"/>
  <c r="D44" i="8"/>
  <c r="C44" i="8"/>
  <c r="B44" i="8"/>
  <c r="D43" i="8"/>
  <c r="C43" i="8"/>
  <c r="B43" i="8"/>
  <c r="D42" i="8"/>
  <c r="C42" i="8"/>
  <c r="B42" i="8"/>
  <c r="D39" i="8"/>
  <c r="C39" i="8"/>
  <c r="B39" i="8"/>
  <c r="D38" i="8"/>
  <c r="C38" i="8"/>
  <c r="B38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7" i="8"/>
  <c r="C17" i="8"/>
  <c r="B17" i="8"/>
  <c r="D16" i="8"/>
  <c r="C16" i="8"/>
  <c r="B16" i="8"/>
  <c r="D15" i="8"/>
  <c r="C15" i="8"/>
  <c r="B15" i="8"/>
  <c r="D14" i="8"/>
  <c r="C14" i="8"/>
  <c r="B14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D39" i="7"/>
  <c r="C39" i="7"/>
  <c r="B39" i="7"/>
  <c r="E38" i="7"/>
  <c r="D38" i="7"/>
  <c r="C38" i="7"/>
  <c r="B38" i="7"/>
  <c r="E35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E30" i="7"/>
  <c r="D30" i="7"/>
  <c r="C30" i="7"/>
  <c r="B30" i="7"/>
  <c r="E29" i="7"/>
  <c r="D29" i="7"/>
  <c r="C29" i="7"/>
  <c r="B29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D11" i="7"/>
  <c r="C11" i="7"/>
  <c r="B11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I45" i="6"/>
  <c r="H45" i="6"/>
  <c r="D45" i="6"/>
  <c r="C45" i="6"/>
  <c r="B45" i="6"/>
  <c r="H44" i="6"/>
  <c r="D44" i="6"/>
  <c r="C44" i="6"/>
  <c r="B44" i="6"/>
  <c r="I43" i="6"/>
  <c r="H43" i="6"/>
  <c r="D43" i="6"/>
  <c r="C43" i="6"/>
  <c r="B43" i="6"/>
  <c r="I42" i="6"/>
  <c r="H42" i="6"/>
  <c r="D42" i="6"/>
  <c r="C42" i="6"/>
  <c r="B42" i="6"/>
  <c r="I39" i="6"/>
  <c r="H39" i="6"/>
  <c r="E39" i="6"/>
  <c r="E39" i="7" s="1"/>
  <c r="D39" i="6"/>
  <c r="C39" i="6"/>
  <c r="B39" i="6"/>
  <c r="I38" i="6"/>
  <c r="H38" i="6"/>
  <c r="D38" i="6"/>
  <c r="C38" i="6"/>
  <c r="B38" i="6"/>
  <c r="I35" i="6"/>
  <c r="H35" i="6"/>
  <c r="D35" i="6"/>
  <c r="C35" i="6"/>
  <c r="B35" i="6"/>
  <c r="I34" i="6"/>
  <c r="H34" i="6"/>
  <c r="E34" i="6"/>
  <c r="E34" i="7" s="1"/>
  <c r="D34" i="6"/>
  <c r="C34" i="6"/>
  <c r="B34" i="6"/>
  <c r="I33" i="6"/>
  <c r="H33" i="6"/>
  <c r="E33" i="6"/>
  <c r="E33" i="7" s="1"/>
  <c r="D33" i="6"/>
  <c r="C33" i="6"/>
  <c r="B33" i="6"/>
  <c r="H32" i="6"/>
  <c r="E32" i="6"/>
  <c r="E32" i="7" s="1"/>
  <c r="D32" i="6"/>
  <c r="C32" i="6"/>
  <c r="B32" i="6"/>
  <c r="H31" i="6"/>
  <c r="E31" i="6"/>
  <c r="E31" i="7" s="1"/>
  <c r="D31" i="6"/>
  <c r="C31" i="6"/>
  <c r="B31" i="6"/>
  <c r="H30" i="6"/>
  <c r="D30" i="6"/>
  <c r="C30" i="6"/>
  <c r="B30" i="6"/>
  <c r="H29" i="6"/>
  <c r="E29" i="6"/>
  <c r="D29" i="6"/>
  <c r="C29" i="6"/>
  <c r="B29" i="6"/>
  <c r="H26" i="6"/>
  <c r="D26" i="6"/>
  <c r="C26" i="6"/>
  <c r="B26" i="6"/>
  <c r="H25" i="6"/>
  <c r="D25" i="6"/>
  <c r="C25" i="6"/>
  <c r="B25" i="6"/>
  <c r="H24" i="6"/>
  <c r="D24" i="6"/>
  <c r="C24" i="6"/>
  <c r="B24" i="6"/>
  <c r="H23" i="6"/>
  <c r="D23" i="6"/>
  <c r="C23" i="6"/>
  <c r="B23" i="6"/>
  <c r="H22" i="6"/>
  <c r="D22" i="6"/>
  <c r="C22" i="6"/>
  <c r="B22" i="6"/>
  <c r="H21" i="6"/>
  <c r="D21" i="6"/>
  <c r="C21" i="6"/>
  <c r="B21" i="6"/>
  <c r="H20" i="6"/>
  <c r="D20" i="6"/>
  <c r="C20" i="6"/>
  <c r="B20" i="6"/>
  <c r="I17" i="6"/>
  <c r="H17" i="6"/>
  <c r="D17" i="6"/>
  <c r="C17" i="6"/>
  <c r="B17" i="6"/>
  <c r="I16" i="6"/>
  <c r="H16" i="6"/>
  <c r="D16" i="6"/>
  <c r="C16" i="6"/>
  <c r="B16" i="6"/>
  <c r="I15" i="6"/>
  <c r="H15" i="6"/>
  <c r="D15" i="6"/>
  <c r="C15" i="6"/>
  <c r="B15" i="6"/>
  <c r="H14" i="6"/>
  <c r="D14" i="6"/>
  <c r="C14" i="6"/>
  <c r="B14" i="6"/>
  <c r="H11" i="6"/>
  <c r="E11" i="6"/>
  <c r="E11" i="7" s="1"/>
  <c r="D11" i="6"/>
  <c r="C11" i="6"/>
  <c r="B11" i="6"/>
  <c r="H10" i="6"/>
  <c r="E10" i="6"/>
  <c r="E10" i="7" s="1"/>
  <c r="D10" i="6"/>
  <c r="C10" i="6"/>
  <c r="B10" i="6"/>
  <c r="J9" i="6"/>
  <c r="H9" i="6"/>
  <c r="I9" i="6" s="1"/>
  <c r="D9" i="6"/>
  <c r="C9" i="6"/>
  <c r="B9" i="6"/>
  <c r="H8" i="6"/>
  <c r="D8" i="6"/>
  <c r="C8" i="6"/>
  <c r="B8" i="6"/>
  <c r="H7" i="6"/>
  <c r="D7" i="6"/>
  <c r="C7" i="6"/>
  <c r="B7" i="6"/>
  <c r="E6" i="6"/>
  <c r="D6" i="6"/>
  <c r="C6" i="6"/>
  <c r="B6" i="6"/>
  <c r="E5" i="6"/>
  <c r="D5" i="6"/>
  <c r="C5" i="6"/>
  <c r="B5" i="6"/>
  <c r="I4" i="6"/>
  <c r="H4" i="6"/>
  <c r="D4" i="6"/>
  <c r="C4" i="6"/>
  <c r="B4" i="6"/>
  <c r="H3" i="6"/>
  <c r="D3" i="6"/>
  <c r="C3" i="6"/>
  <c r="B3" i="6"/>
  <c r="H2" i="6"/>
  <c r="D2" i="6"/>
  <c r="C2" i="6"/>
  <c r="B2" i="6"/>
  <c r="F45" i="5"/>
  <c r="E45" i="5"/>
  <c r="F44" i="5"/>
  <c r="E44" i="5"/>
  <c r="F43" i="5"/>
  <c r="E43" i="5"/>
  <c r="F42" i="5"/>
  <c r="E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F39" i="5"/>
  <c r="F38" i="5"/>
  <c r="E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F35" i="5"/>
  <c r="E35" i="5"/>
  <c r="F34" i="5"/>
  <c r="F33" i="5"/>
  <c r="F32" i="5"/>
  <c r="F31" i="5"/>
  <c r="F30" i="5"/>
  <c r="E30" i="5"/>
  <c r="F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F17" i="5"/>
  <c r="E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F16" i="5"/>
  <c r="E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F15" i="5"/>
  <c r="E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F14" i="5"/>
  <c r="E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F11" i="5"/>
  <c r="F10" i="5"/>
  <c r="F9" i="5"/>
  <c r="E9" i="5"/>
  <c r="F8" i="5"/>
  <c r="E8" i="5"/>
  <c r="F7" i="5"/>
  <c r="E7" i="5"/>
  <c r="F6" i="5"/>
  <c r="F5" i="5"/>
  <c r="F4" i="5"/>
  <c r="E4" i="5"/>
  <c r="F3" i="5"/>
  <c r="E3" i="5"/>
  <c r="F2" i="5"/>
  <c r="E2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I45" i="4"/>
  <c r="H45" i="4"/>
  <c r="D45" i="4"/>
  <c r="D45" i="5" s="1"/>
  <c r="C45" i="4"/>
  <c r="C45" i="5" s="1"/>
  <c r="B45" i="4"/>
  <c r="B45" i="5" s="1"/>
  <c r="I44" i="4"/>
  <c r="H44" i="4"/>
  <c r="D44" i="4"/>
  <c r="D44" i="5" s="1"/>
  <c r="C44" i="4"/>
  <c r="C44" i="5" s="1"/>
  <c r="B44" i="4"/>
  <c r="B44" i="5" s="1"/>
  <c r="I43" i="4"/>
  <c r="H43" i="4"/>
  <c r="D43" i="4"/>
  <c r="D43" i="5" s="1"/>
  <c r="C43" i="4"/>
  <c r="C43" i="5" s="1"/>
  <c r="B43" i="4"/>
  <c r="B43" i="5" s="1"/>
  <c r="I42" i="4"/>
  <c r="H42" i="4"/>
  <c r="D42" i="4"/>
  <c r="D42" i="5" s="1"/>
  <c r="C42" i="4"/>
  <c r="C42" i="5" s="1"/>
  <c r="B42" i="4"/>
  <c r="B42" i="5" s="1"/>
  <c r="K39" i="4"/>
  <c r="J39" i="4"/>
  <c r="I39" i="4"/>
  <c r="H39" i="4"/>
  <c r="E39" i="4"/>
  <c r="E39" i="5" s="1"/>
  <c r="D39" i="4"/>
  <c r="D39" i="5" s="1"/>
  <c r="C39" i="4"/>
  <c r="C39" i="5" s="1"/>
  <c r="B39" i="4"/>
  <c r="B39" i="5" s="1"/>
  <c r="H38" i="4"/>
  <c r="I38" i="4" s="1"/>
  <c r="D38" i="4"/>
  <c r="D38" i="5" s="1"/>
  <c r="C38" i="4"/>
  <c r="C38" i="5" s="1"/>
  <c r="B38" i="4"/>
  <c r="B38" i="5" s="1"/>
  <c r="H35" i="4"/>
  <c r="D35" i="4"/>
  <c r="D35" i="5" s="1"/>
  <c r="C35" i="4"/>
  <c r="C35" i="5" s="1"/>
  <c r="B35" i="4"/>
  <c r="B35" i="5" s="1"/>
  <c r="I34" i="4"/>
  <c r="H34" i="4"/>
  <c r="E34" i="4"/>
  <c r="E34" i="5" s="1"/>
  <c r="D34" i="4"/>
  <c r="D34" i="5" s="1"/>
  <c r="C34" i="4"/>
  <c r="C34" i="5" s="1"/>
  <c r="B34" i="4"/>
  <c r="B34" i="5" s="1"/>
  <c r="H33" i="4"/>
  <c r="E33" i="4"/>
  <c r="E33" i="5" s="1"/>
  <c r="D33" i="4"/>
  <c r="D33" i="5" s="1"/>
  <c r="C33" i="4"/>
  <c r="C33" i="5" s="1"/>
  <c r="B33" i="4"/>
  <c r="B33" i="5" s="1"/>
  <c r="H32" i="4"/>
  <c r="E32" i="4"/>
  <c r="E32" i="5" s="1"/>
  <c r="D32" i="4"/>
  <c r="D32" i="5" s="1"/>
  <c r="C32" i="4"/>
  <c r="C32" i="5" s="1"/>
  <c r="B32" i="4"/>
  <c r="B32" i="5" s="1"/>
  <c r="I31" i="4"/>
  <c r="H31" i="4"/>
  <c r="E31" i="4"/>
  <c r="E31" i="5" s="1"/>
  <c r="D31" i="4"/>
  <c r="D31" i="5" s="1"/>
  <c r="C31" i="4"/>
  <c r="C31" i="5" s="1"/>
  <c r="B31" i="4"/>
  <c r="B31" i="5" s="1"/>
  <c r="H30" i="4"/>
  <c r="D30" i="4"/>
  <c r="D30" i="5" s="1"/>
  <c r="C30" i="4"/>
  <c r="C30" i="5" s="1"/>
  <c r="B30" i="4"/>
  <c r="B30" i="5" s="1"/>
  <c r="H29" i="4"/>
  <c r="E29" i="4"/>
  <c r="E29" i="5" s="1"/>
  <c r="D29" i="4"/>
  <c r="D29" i="5" s="1"/>
  <c r="C29" i="4"/>
  <c r="C29" i="5" s="1"/>
  <c r="B29" i="4"/>
  <c r="B29" i="5" s="1"/>
  <c r="H26" i="4"/>
  <c r="D26" i="4"/>
  <c r="D26" i="5" s="1"/>
  <c r="C26" i="4"/>
  <c r="C26" i="5" s="1"/>
  <c r="B26" i="4"/>
  <c r="B26" i="5" s="1"/>
  <c r="H25" i="4"/>
  <c r="D25" i="4"/>
  <c r="D25" i="5" s="1"/>
  <c r="C25" i="4"/>
  <c r="C25" i="5" s="1"/>
  <c r="B25" i="4"/>
  <c r="B25" i="5" s="1"/>
  <c r="H24" i="4"/>
  <c r="D24" i="4"/>
  <c r="D24" i="5" s="1"/>
  <c r="C24" i="4"/>
  <c r="C24" i="5" s="1"/>
  <c r="B24" i="4"/>
  <c r="B24" i="5" s="1"/>
  <c r="I23" i="4"/>
  <c r="H23" i="4"/>
  <c r="D23" i="4"/>
  <c r="D23" i="5" s="1"/>
  <c r="C23" i="4"/>
  <c r="C23" i="5" s="1"/>
  <c r="B23" i="4"/>
  <c r="B23" i="5" s="1"/>
  <c r="I22" i="4"/>
  <c r="H22" i="4"/>
  <c r="D22" i="4"/>
  <c r="D22" i="5" s="1"/>
  <c r="C22" i="4"/>
  <c r="C22" i="5" s="1"/>
  <c r="B22" i="4"/>
  <c r="B22" i="5" s="1"/>
  <c r="H21" i="4"/>
  <c r="D21" i="4"/>
  <c r="D21" i="5" s="1"/>
  <c r="C21" i="4"/>
  <c r="C21" i="5" s="1"/>
  <c r="B21" i="4"/>
  <c r="B21" i="5" s="1"/>
  <c r="I20" i="4"/>
  <c r="H20" i="4"/>
  <c r="D20" i="4"/>
  <c r="D20" i="5" s="1"/>
  <c r="C20" i="4"/>
  <c r="C20" i="5" s="1"/>
  <c r="B20" i="4"/>
  <c r="B20" i="5" s="1"/>
  <c r="H17" i="4"/>
  <c r="D17" i="4"/>
  <c r="D17" i="5" s="1"/>
  <c r="C17" i="4"/>
  <c r="C17" i="5" s="1"/>
  <c r="B17" i="4"/>
  <c r="B17" i="5" s="1"/>
  <c r="H16" i="4"/>
  <c r="D16" i="4"/>
  <c r="D16" i="5" s="1"/>
  <c r="C16" i="4"/>
  <c r="C16" i="5" s="1"/>
  <c r="B16" i="4"/>
  <c r="B16" i="5" s="1"/>
  <c r="I15" i="4"/>
  <c r="H15" i="4"/>
  <c r="D15" i="4"/>
  <c r="D15" i="5" s="1"/>
  <c r="C15" i="4"/>
  <c r="C15" i="5" s="1"/>
  <c r="B15" i="4"/>
  <c r="B15" i="5" s="1"/>
  <c r="I14" i="4"/>
  <c r="H14" i="4"/>
  <c r="D14" i="4"/>
  <c r="D14" i="5" s="1"/>
  <c r="C14" i="4"/>
  <c r="C14" i="5" s="1"/>
  <c r="B14" i="4"/>
  <c r="B14" i="5" s="1"/>
  <c r="I11" i="4"/>
  <c r="H11" i="4"/>
  <c r="E11" i="4"/>
  <c r="E11" i="5" s="1"/>
  <c r="D11" i="4"/>
  <c r="D11" i="5" s="1"/>
  <c r="C11" i="4"/>
  <c r="C11" i="5" s="1"/>
  <c r="B11" i="4"/>
  <c r="B11" i="5" s="1"/>
  <c r="H10" i="4"/>
  <c r="E10" i="4"/>
  <c r="E10" i="5" s="1"/>
  <c r="D10" i="4"/>
  <c r="D10" i="5" s="1"/>
  <c r="C10" i="4"/>
  <c r="C10" i="5" s="1"/>
  <c r="B10" i="4"/>
  <c r="B10" i="5" s="1"/>
  <c r="H9" i="4"/>
  <c r="D9" i="4"/>
  <c r="D9" i="5" s="1"/>
  <c r="C9" i="4"/>
  <c r="C9" i="5" s="1"/>
  <c r="B9" i="4"/>
  <c r="B9" i="5" s="1"/>
  <c r="J8" i="4"/>
  <c r="I8" i="4"/>
  <c r="H8" i="4"/>
  <c r="D8" i="4"/>
  <c r="D8" i="5" s="1"/>
  <c r="C8" i="4"/>
  <c r="C8" i="5" s="1"/>
  <c r="B8" i="4"/>
  <c r="B8" i="5" s="1"/>
  <c r="I7" i="4"/>
  <c r="H7" i="4"/>
  <c r="D7" i="4"/>
  <c r="D7" i="5" s="1"/>
  <c r="C7" i="4"/>
  <c r="C7" i="5" s="1"/>
  <c r="B7" i="4"/>
  <c r="B7" i="5" s="1"/>
  <c r="E6" i="4"/>
  <c r="E6" i="5" s="1"/>
  <c r="D6" i="4"/>
  <c r="D6" i="5" s="1"/>
  <c r="C6" i="4"/>
  <c r="C6" i="5" s="1"/>
  <c r="B6" i="4"/>
  <c r="B6" i="5" s="1"/>
  <c r="E5" i="4"/>
  <c r="E5" i="5" s="1"/>
  <c r="D5" i="4"/>
  <c r="D5" i="5" s="1"/>
  <c r="C5" i="4"/>
  <c r="C5" i="5" s="1"/>
  <c r="B5" i="4"/>
  <c r="B5" i="5" s="1"/>
  <c r="H4" i="4"/>
  <c r="D4" i="4"/>
  <c r="D4" i="5" s="1"/>
  <c r="C4" i="4"/>
  <c r="C4" i="5" s="1"/>
  <c r="B4" i="4"/>
  <c r="B4" i="5" s="1"/>
  <c r="I3" i="4"/>
  <c r="H3" i="4"/>
  <c r="D3" i="4"/>
  <c r="D3" i="5" s="1"/>
  <c r="C3" i="4"/>
  <c r="C3" i="5" s="1"/>
  <c r="B3" i="4"/>
  <c r="B3" i="5" s="1"/>
  <c r="J2" i="4"/>
  <c r="I2" i="4"/>
  <c r="H2" i="4"/>
  <c r="D2" i="4"/>
  <c r="D2" i="5" s="1"/>
  <c r="C2" i="4"/>
  <c r="C2" i="5" s="1"/>
  <c r="B2" i="4"/>
  <c r="B2" i="5" s="1"/>
  <c r="BK45" i="3"/>
  <c r="BL45" i="3" s="1"/>
  <c r="BI45" i="3"/>
  <c r="BH45" i="3"/>
  <c r="AW45" i="3"/>
  <c r="AX45" i="3" s="1"/>
  <c r="D45" i="3"/>
  <c r="AP45" i="3" s="1"/>
  <c r="C45" i="3"/>
  <c r="B45" i="3"/>
  <c r="G45" i="7" s="1"/>
  <c r="BK44" i="3"/>
  <c r="BL44" i="3" s="1"/>
  <c r="BH44" i="3"/>
  <c r="AW44" i="3"/>
  <c r="AX44" i="3" s="1"/>
  <c r="AR44" i="3"/>
  <c r="E44" i="3"/>
  <c r="D44" i="3"/>
  <c r="AT44" i="3" s="1"/>
  <c r="C44" i="3"/>
  <c r="AS44" i="3" s="1"/>
  <c r="B44" i="3"/>
  <c r="G44" i="7" s="1"/>
  <c r="BL43" i="3"/>
  <c r="BK43" i="3"/>
  <c r="BH43" i="3"/>
  <c r="BI43" i="3" s="1"/>
  <c r="AX43" i="3"/>
  <c r="AW43" i="3"/>
  <c r="AS43" i="3"/>
  <c r="D43" i="3"/>
  <c r="AP43" i="3" s="1"/>
  <c r="C43" i="3"/>
  <c r="B43" i="3"/>
  <c r="G43" i="7" s="1"/>
  <c r="BL42" i="3"/>
  <c r="BK42" i="3"/>
  <c r="BH42" i="3"/>
  <c r="BI42" i="3" s="1"/>
  <c r="AX42" i="3"/>
  <c r="AW42" i="3"/>
  <c r="AT42" i="3"/>
  <c r="D42" i="3"/>
  <c r="AP42" i="3" s="1"/>
  <c r="C42" i="3"/>
  <c r="AS42" i="3" s="1"/>
  <c r="B42" i="3"/>
  <c r="G42" i="7" s="1"/>
  <c r="BK39" i="3"/>
  <c r="BL39" i="3" s="1"/>
  <c r="BI39" i="3"/>
  <c r="BH39" i="3"/>
  <c r="AW39" i="3"/>
  <c r="AX39" i="3" s="1"/>
  <c r="AI39" i="3"/>
  <c r="AH39" i="3"/>
  <c r="T39" i="3"/>
  <c r="S39" i="3"/>
  <c r="D39" i="3"/>
  <c r="AP39" i="3" s="1"/>
  <c r="C39" i="3"/>
  <c r="B39" i="3"/>
  <c r="G39" i="7" s="1"/>
  <c r="BK38" i="3"/>
  <c r="BL38" i="3" s="1"/>
  <c r="BH38" i="3"/>
  <c r="AW38" i="3"/>
  <c r="AX38" i="3" s="1"/>
  <c r="AR38" i="3"/>
  <c r="E38" i="3"/>
  <c r="D38" i="3"/>
  <c r="AT38" i="3" s="1"/>
  <c r="C38" i="3"/>
  <c r="AS38" i="3" s="1"/>
  <c r="B38" i="3"/>
  <c r="BL35" i="3"/>
  <c r="BK35" i="3"/>
  <c r="BH35" i="3"/>
  <c r="AX35" i="3"/>
  <c r="AW35" i="3"/>
  <c r="BI35" i="3" s="1"/>
  <c r="AS35" i="3"/>
  <c r="D35" i="3"/>
  <c r="AP35" i="3" s="1"/>
  <c r="C35" i="3"/>
  <c r="B35" i="3"/>
  <c r="AR35" i="3" s="1"/>
  <c r="AU35" i="3" s="1"/>
  <c r="BL34" i="3"/>
  <c r="BK34" i="3"/>
  <c r="BH34" i="3"/>
  <c r="BI34" i="3" s="1"/>
  <c r="AX34" i="3"/>
  <c r="AW34" i="3"/>
  <c r="AT34" i="3"/>
  <c r="AB34" i="3"/>
  <c r="AA34" i="3"/>
  <c r="J34" i="6" s="1"/>
  <c r="M34" i="3"/>
  <c r="L34" i="3"/>
  <c r="J34" i="4" s="1"/>
  <c r="D34" i="3"/>
  <c r="AP34" i="3" s="1"/>
  <c r="C34" i="3"/>
  <c r="AS34" i="3" s="1"/>
  <c r="B34" i="3"/>
  <c r="G34" i="7" s="1"/>
  <c r="BK33" i="3"/>
  <c r="BL33" i="3" s="1"/>
  <c r="BI33" i="3"/>
  <c r="BH33" i="3"/>
  <c r="AW33" i="3"/>
  <c r="AX33" i="3" s="1"/>
  <c r="AB33" i="3"/>
  <c r="AA33" i="3"/>
  <c r="J33" i="6" s="1"/>
  <c r="M33" i="3"/>
  <c r="L33" i="3"/>
  <c r="D33" i="3"/>
  <c r="AP33" i="3" s="1"/>
  <c r="C33" i="3"/>
  <c r="B33" i="3"/>
  <c r="AR33" i="3" s="1"/>
  <c r="BK32" i="3"/>
  <c r="BL32" i="3" s="1"/>
  <c r="BH32" i="3"/>
  <c r="AW32" i="3"/>
  <c r="AX32" i="3" s="1"/>
  <c r="AR32" i="3"/>
  <c r="AB32" i="3"/>
  <c r="AA32" i="3"/>
  <c r="M32" i="3"/>
  <c r="L32" i="3"/>
  <c r="E32" i="3"/>
  <c r="D32" i="3"/>
  <c r="AT32" i="3" s="1"/>
  <c r="C32" i="3"/>
  <c r="AS32" i="3" s="1"/>
  <c r="B32" i="3"/>
  <c r="G32" i="7" s="1"/>
  <c r="BL31" i="3"/>
  <c r="BK31" i="3"/>
  <c r="BH31" i="3"/>
  <c r="BI31" i="3" s="1"/>
  <c r="AX31" i="3"/>
  <c r="AW31" i="3"/>
  <c r="AS31" i="3"/>
  <c r="AB31" i="3"/>
  <c r="AA31" i="3"/>
  <c r="M31" i="3"/>
  <c r="L31" i="3"/>
  <c r="D31" i="3"/>
  <c r="AP31" i="3" s="1"/>
  <c r="C31" i="3"/>
  <c r="B31" i="3"/>
  <c r="G31" i="7" s="1"/>
  <c r="BL30" i="3"/>
  <c r="BK30" i="3"/>
  <c r="BH30" i="3"/>
  <c r="BI30" i="3" s="1"/>
  <c r="AX30" i="3"/>
  <c r="AW30" i="3"/>
  <c r="AT30" i="3"/>
  <c r="D30" i="3"/>
  <c r="AP30" i="3" s="1"/>
  <c r="C30" i="3"/>
  <c r="AS30" i="3" s="1"/>
  <c r="B30" i="3"/>
  <c r="G30" i="7" s="1"/>
  <c r="BK29" i="3"/>
  <c r="BL29" i="3" s="1"/>
  <c r="BI29" i="3"/>
  <c r="BH29" i="3"/>
  <c r="AW29" i="3"/>
  <c r="AX29" i="3" s="1"/>
  <c r="AB29" i="3"/>
  <c r="AA29" i="3"/>
  <c r="M29" i="3"/>
  <c r="L29" i="3"/>
  <c r="D29" i="3"/>
  <c r="AP29" i="3" s="1"/>
  <c r="C29" i="3"/>
  <c r="B29" i="3"/>
  <c r="G29" i="7" s="1"/>
  <c r="BK26" i="3"/>
  <c r="BL26" i="3" s="1"/>
  <c r="BH26" i="3"/>
  <c r="AW26" i="3"/>
  <c r="AX26" i="3" s="1"/>
  <c r="AR26" i="3"/>
  <c r="E26" i="3"/>
  <c r="D26" i="3"/>
  <c r="AT26" i="3" s="1"/>
  <c r="C26" i="3"/>
  <c r="AS26" i="3" s="1"/>
  <c r="B26" i="3"/>
  <c r="G26" i="7" s="1"/>
  <c r="BL25" i="3"/>
  <c r="BK25" i="3"/>
  <c r="BH25" i="3"/>
  <c r="BI25" i="3" s="1"/>
  <c r="AX25" i="3"/>
  <c r="AW25" i="3"/>
  <c r="AS25" i="3"/>
  <c r="L25" i="3"/>
  <c r="D25" i="3"/>
  <c r="AP25" i="3" s="1"/>
  <c r="C25" i="3"/>
  <c r="B25" i="3"/>
  <c r="G25" i="7" s="1"/>
  <c r="BL24" i="3"/>
  <c r="BK24" i="3"/>
  <c r="BH24" i="3"/>
  <c r="BI24" i="3" s="1"/>
  <c r="AX24" i="3"/>
  <c r="AW24" i="3"/>
  <c r="AT24" i="3"/>
  <c r="D24" i="3"/>
  <c r="AP24" i="3" s="1"/>
  <c r="C24" i="3"/>
  <c r="AS24" i="3" s="1"/>
  <c r="B24" i="3"/>
  <c r="G24" i="7" s="1"/>
  <c r="BK23" i="3"/>
  <c r="BL23" i="3" s="1"/>
  <c r="BI23" i="3"/>
  <c r="BH23" i="3"/>
  <c r="AW23" i="3"/>
  <c r="AX23" i="3" s="1"/>
  <c r="D23" i="3"/>
  <c r="AP23" i="3" s="1"/>
  <c r="C23" i="3"/>
  <c r="B23" i="3"/>
  <c r="G23" i="7" s="1"/>
  <c r="BK22" i="3"/>
  <c r="BL22" i="3" s="1"/>
  <c r="BH22" i="3"/>
  <c r="AW22" i="3"/>
  <c r="AX22" i="3" s="1"/>
  <c r="AR22" i="3"/>
  <c r="AB22" i="3"/>
  <c r="E22" i="3"/>
  <c r="D22" i="3"/>
  <c r="AT22" i="3" s="1"/>
  <c r="C22" i="3"/>
  <c r="AS22" i="3" s="1"/>
  <c r="B22" i="3"/>
  <c r="G22" i="7" s="1"/>
  <c r="BL21" i="3"/>
  <c r="BK21" i="3"/>
  <c r="BH21" i="3"/>
  <c r="BI21" i="3" s="1"/>
  <c r="AX21" i="3"/>
  <c r="AW21" i="3"/>
  <c r="AS21" i="3"/>
  <c r="L21" i="3"/>
  <c r="D21" i="3"/>
  <c r="AP21" i="3" s="1"/>
  <c r="C21" i="3"/>
  <c r="B21" i="3"/>
  <c r="G21" i="7" s="1"/>
  <c r="BL20" i="3"/>
  <c r="BK20" i="3"/>
  <c r="BH20" i="3"/>
  <c r="BI20" i="3" s="1"/>
  <c r="AX20" i="3"/>
  <c r="AW20" i="3"/>
  <c r="AT20" i="3"/>
  <c r="D20" i="3"/>
  <c r="AP20" i="3" s="1"/>
  <c r="C20" i="3"/>
  <c r="AS20" i="3" s="1"/>
  <c r="B20" i="3"/>
  <c r="G20" i="7" s="1"/>
  <c r="BK17" i="3"/>
  <c r="BL17" i="3" s="1"/>
  <c r="BI17" i="3"/>
  <c r="BH17" i="3"/>
  <c r="AW17" i="3"/>
  <c r="AX17" i="3" s="1"/>
  <c r="D17" i="3"/>
  <c r="AP17" i="3" s="1"/>
  <c r="C17" i="3"/>
  <c r="B17" i="3"/>
  <c r="G17" i="7" s="1"/>
  <c r="BK16" i="3"/>
  <c r="BL16" i="3" s="1"/>
  <c r="BH16" i="3"/>
  <c r="AW16" i="3"/>
  <c r="AX16" i="3" s="1"/>
  <c r="AP16" i="3"/>
  <c r="AB16" i="3"/>
  <c r="D16" i="3"/>
  <c r="AT16" i="3" s="1"/>
  <c r="C16" i="3"/>
  <c r="B16" i="3"/>
  <c r="G16" i="7" s="1"/>
  <c r="BL15" i="3"/>
  <c r="BK15" i="3"/>
  <c r="BH15" i="3"/>
  <c r="BI15" i="3" s="1"/>
  <c r="AX15" i="3"/>
  <c r="AW15" i="3"/>
  <c r="AO15" i="3"/>
  <c r="AN15" i="3"/>
  <c r="M15" i="3"/>
  <c r="D15" i="3"/>
  <c r="C15" i="3"/>
  <c r="B15" i="3"/>
  <c r="G15" i="7" s="1"/>
  <c r="BK14" i="3"/>
  <c r="BL14" i="3" s="1"/>
  <c r="BH14" i="3"/>
  <c r="AW14" i="3"/>
  <c r="AX14" i="3" s="1"/>
  <c r="AP14" i="3"/>
  <c r="AO14" i="3"/>
  <c r="AB14" i="3"/>
  <c r="H14" i="3"/>
  <c r="D14" i="3"/>
  <c r="AT14" i="3" s="1"/>
  <c r="C14" i="3"/>
  <c r="B14" i="3"/>
  <c r="G14" i="7" s="1"/>
  <c r="BL11" i="3"/>
  <c r="BK11" i="3"/>
  <c r="BH11" i="3"/>
  <c r="BI11" i="3" s="1"/>
  <c r="AX11" i="3"/>
  <c r="AW11" i="3"/>
  <c r="AT11" i="3"/>
  <c r="AG11" i="3"/>
  <c r="AF11" i="3"/>
  <c r="AE11" i="3"/>
  <c r="AD11" i="3"/>
  <c r="AC11" i="3"/>
  <c r="AB11" i="3"/>
  <c r="R11" i="3"/>
  <c r="Q11" i="3"/>
  <c r="P11" i="3"/>
  <c r="O11" i="3"/>
  <c r="N11" i="3"/>
  <c r="M11" i="3"/>
  <c r="D11" i="3"/>
  <c r="AP11" i="3" s="1"/>
  <c r="C11" i="3"/>
  <c r="AS11" i="3" s="1"/>
  <c r="B11" i="3"/>
  <c r="G11" i="7" s="1"/>
  <c r="BL10" i="3"/>
  <c r="BK10" i="3"/>
  <c r="BI10" i="3"/>
  <c r="BH10" i="3"/>
  <c r="AX10" i="3"/>
  <c r="AW10" i="3"/>
  <c r="AG10" i="3"/>
  <c r="AF10" i="3"/>
  <c r="AE10" i="3"/>
  <c r="AD10" i="3"/>
  <c r="AC10" i="3"/>
  <c r="AB10" i="3"/>
  <c r="R10" i="3"/>
  <c r="Q10" i="3"/>
  <c r="P10" i="3"/>
  <c r="O10" i="3"/>
  <c r="N10" i="3"/>
  <c r="M10" i="3"/>
  <c r="D10" i="3"/>
  <c r="AP10" i="3" s="1"/>
  <c r="C10" i="3"/>
  <c r="B10" i="3"/>
  <c r="G10" i="7" s="1"/>
  <c r="BK9" i="3"/>
  <c r="BL9" i="3" s="1"/>
  <c r="BH9" i="3"/>
  <c r="AW9" i="3"/>
  <c r="AX9" i="3" s="1"/>
  <c r="AR9" i="3"/>
  <c r="P9" i="3"/>
  <c r="E9" i="3"/>
  <c r="D9" i="3"/>
  <c r="AT9" i="3" s="1"/>
  <c r="C9" i="3"/>
  <c r="AS9" i="3" s="1"/>
  <c r="B9" i="3"/>
  <c r="G9" i="7" s="1"/>
  <c r="BL8" i="3"/>
  <c r="BK8" i="3"/>
  <c r="BH8" i="3"/>
  <c r="AX8" i="3"/>
  <c r="AW8" i="3"/>
  <c r="BI8" i="3" s="1"/>
  <c r="AS8" i="3"/>
  <c r="AD8" i="3"/>
  <c r="Q8" i="3"/>
  <c r="M8" i="3"/>
  <c r="D8" i="3"/>
  <c r="AP8" i="3" s="1"/>
  <c r="C8" i="3"/>
  <c r="B8" i="3"/>
  <c r="G8" i="7" s="1"/>
  <c r="BL7" i="3"/>
  <c r="BK7" i="3"/>
  <c r="BH7" i="3"/>
  <c r="BI7" i="3" s="1"/>
  <c r="AX7" i="3"/>
  <c r="AW7" i="3"/>
  <c r="AT7" i="3"/>
  <c r="R7" i="3"/>
  <c r="Q7" i="3"/>
  <c r="N7" i="3"/>
  <c r="M7" i="3"/>
  <c r="D7" i="3"/>
  <c r="AP7" i="3" s="1"/>
  <c r="C7" i="3"/>
  <c r="AS7" i="3" s="1"/>
  <c r="B7" i="3"/>
  <c r="G7" i="7" s="1"/>
  <c r="BL6" i="3"/>
  <c r="BK6" i="3"/>
  <c r="BI6" i="3"/>
  <c r="BH6" i="3"/>
  <c r="AX6" i="3"/>
  <c r="AW6" i="3"/>
  <c r="AB6" i="3"/>
  <c r="AA6" i="3"/>
  <c r="Z6" i="3"/>
  <c r="Y6" i="3"/>
  <c r="H6" i="6" s="1"/>
  <c r="M6" i="3"/>
  <c r="L6" i="3"/>
  <c r="K6" i="3"/>
  <c r="J6" i="3"/>
  <c r="H6" i="4" s="1"/>
  <c r="D6" i="3"/>
  <c r="AP6" i="3" s="1"/>
  <c r="C6" i="3"/>
  <c r="B6" i="3"/>
  <c r="G6" i="7" s="1"/>
  <c r="BK5" i="3"/>
  <c r="BL5" i="3" s="1"/>
  <c r="BH5" i="3"/>
  <c r="AW5" i="3"/>
  <c r="AX5" i="3" s="1"/>
  <c r="AR5" i="3"/>
  <c r="AB5" i="3"/>
  <c r="AA5" i="3"/>
  <c r="Z5" i="3"/>
  <c r="Y5" i="3"/>
  <c r="H5" i="6" s="1"/>
  <c r="M5" i="3"/>
  <c r="L5" i="3"/>
  <c r="K5" i="3"/>
  <c r="J5" i="3"/>
  <c r="H5" i="4" s="1"/>
  <c r="E5" i="3"/>
  <c r="D5" i="3"/>
  <c r="AT5" i="3" s="1"/>
  <c r="C5" i="3"/>
  <c r="AS5" i="3" s="1"/>
  <c r="B5" i="3"/>
  <c r="G5" i="7" s="1"/>
  <c r="BL4" i="3"/>
  <c r="BK4" i="3"/>
  <c r="BH4" i="3"/>
  <c r="AX4" i="3"/>
  <c r="AW4" i="3"/>
  <c r="BI4" i="3" s="1"/>
  <c r="AS4" i="3"/>
  <c r="AG4" i="3"/>
  <c r="AD4" i="3"/>
  <c r="AC4" i="3"/>
  <c r="Q4" i="3"/>
  <c r="M4" i="3"/>
  <c r="D4" i="3"/>
  <c r="AP4" i="3" s="1"/>
  <c r="C4" i="3"/>
  <c r="B4" i="3"/>
  <c r="AR4" i="3" s="1"/>
  <c r="AU4" i="3" s="1"/>
  <c r="BL3" i="3"/>
  <c r="BK3" i="3"/>
  <c r="BH3" i="3"/>
  <c r="BI3" i="3" s="1"/>
  <c r="AX3" i="3"/>
  <c r="AW3" i="3"/>
  <c r="AT3" i="3"/>
  <c r="R3" i="3"/>
  <c r="Q3" i="3"/>
  <c r="N3" i="3"/>
  <c r="M3" i="3"/>
  <c r="D3" i="3"/>
  <c r="AP3" i="3" s="1"/>
  <c r="C3" i="3"/>
  <c r="AS3" i="3" s="1"/>
  <c r="B3" i="3"/>
  <c r="AR3" i="3" s="1"/>
  <c r="BL2" i="3"/>
  <c r="BK2" i="3"/>
  <c r="BI2" i="3"/>
  <c r="BH2" i="3"/>
  <c r="AX2" i="3"/>
  <c r="AW2" i="3"/>
  <c r="AF2" i="3"/>
  <c r="AE2" i="3"/>
  <c r="AB2" i="3"/>
  <c r="O2" i="3"/>
  <c r="D2" i="3"/>
  <c r="AP2" i="3" s="1"/>
  <c r="C2" i="3"/>
  <c r="B2" i="3"/>
  <c r="G2" i="7" s="1"/>
  <c r="AF45" i="2"/>
  <c r="L45" i="3" s="1"/>
  <c r="AD45" i="2"/>
  <c r="AB45" i="3" s="1"/>
  <c r="AF44" i="2"/>
  <c r="M44" i="3" s="1"/>
  <c r="AD44" i="2"/>
  <c r="AB44" i="3" s="1"/>
  <c r="AF43" i="2"/>
  <c r="M43" i="3" s="1"/>
  <c r="AD43" i="2"/>
  <c r="AA43" i="3" s="1"/>
  <c r="AF42" i="2"/>
  <c r="M42" i="3" s="1"/>
  <c r="AD42" i="2"/>
  <c r="AB42" i="3" s="1"/>
  <c r="AF38" i="2"/>
  <c r="M38" i="3" s="1"/>
  <c r="AD38" i="2"/>
  <c r="AB38" i="3" s="1"/>
  <c r="AF35" i="2"/>
  <c r="M35" i="3" s="1"/>
  <c r="AD35" i="2"/>
  <c r="AA35" i="3" s="1"/>
  <c r="J35" i="6" s="1"/>
  <c r="AF30" i="2"/>
  <c r="M30" i="3" s="1"/>
  <c r="AD30" i="2"/>
  <c r="AB30" i="3" s="1"/>
  <c r="AF26" i="2"/>
  <c r="M26" i="3" s="1"/>
  <c r="AD26" i="2"/>
  <c r="AB26" i="3" s="1"/>
  <c r="AF25" i="2"/>
  <c r="M25" i="3" s="1"/>
  <c r="AD25" i="2"/>
  <c r="AA25" i="3" s="1"/>
  <c r="AF24" i="2"/>
  <c r="M24" i="3" s="1"/>
  <c r="AD24" i="2"/>
  <c r="AB24" i="3" s="1"/>
  <c r="AF23" i="2"/>
  <c r="L23" i="3" s="1"/>
  <c r="AD23" i="2"/>
  <c r="AB23" i="3" s="1"/>
  <c r="AF22" i="2"/>
  <c r="M22" i="3" s="1"/>
  <c r="AD22" i="2"/>
  <c r="AA22" i="3" s="1"/>
  <c r="AF21" i="2"/>
  <c r="M21" i="3" s="1"/>
  <c r="AD21" i="2"/>
  <c r="AA21" i="3" s="1"/>
  <c r="AF20" i="2"/>
  <c r="M20" i="3" s="1"/>
  <c r="AD20" i="2"/>
  <c r="AB20" i="3" s="1"/>
  <c r="AF17" i="2"/>
  <c r="L17" i="3" s="1"/>
  <c r="AD17" i="2"/>
  <c r="AB17" i="3" s="1"/>
  <c r="AF16" i="2"/>
  <c r="M16" i="3" s="1"/>
  <c r="AD16" i="2"/>
  <c r="AA16" i="3" s="1"/>
  <c r="J16" i="6" s="1"/>
  <c r="AF15" i="2"/>
  <c r="L15" i="3" s="1"/>
  <c r="J15" i="4" s="1"/>
  <c r="AD15" i="2"/>
  <c r="AB15" i="3" s="1"/>
  <c r="AF14" i="2"/>
  <c r="M14" i="3" s="1"/>
  <c r="AD14" i="2"/>
  <c r="AA14" i="3" s="1"/>
  <c r="AF9" i="2"/>
  <c r="R9" i="3" s="1"/>
  <c r="AD9" i="2"/>
  <c r="AE9" i="3" s="1"/>
  <c r="AF8" i="2"/>
  <c r="O8" i="3" s="1"/>
  <c r="AD8" i="2"/>
  <c r="AF8" i="3" s="1"/>
  <c r="AF7" i="2"/>
  <c r="P7" i="3" s="1"/>
  <c r="AD7" i="2"/>
  <c r="AG7" i="3" s="1"/>
  <c r="AF4" i="2"/>
  <c r="O4" i="3" s="1"/>
  <c r="AD4" i="2"/>
  <c r="AF4" i="3" s="1"/>
  <c r="AF3" i="2"/>
  <c r="P3" i="3" s="1"/>
  <c r="AD3" i="2"/>
  <c r="AG3" i="3" s="1"/>
  <c r="AF2" i="2"/>
  <c r="Q2" i="3" s="1"/>
  <c r="AD2" i="2"/>
  <c r="AD2" i="3" s="1"/>
  <c r="X56" i="1"/>
  <c r="W56" i="1"/>
  <c r="V56" i="1"/>
  <c r="U56" i="1"/>
  <c r="T56" i="1"/>
  <c r="R56" i="1" s="1"/>
  <c r="S56" i="1"/>
  <c r="AH55" i="1"/>
  <c r="AG55" i="1"/>
  <c r="AE55" i="1"/>
  <c r="AD55" i="1"/>
  <c r="AC55" i="1"/>
  <c r="AB55" i="1"/>
  <c r="AA55" i="1"/>
  <c r="Z55" i="1"/>
  <c r="X55" i="1"/>
  <c r="W55" i="1"/>
  <c r="V55" i="1"/>
  <c r="U55" i="1"/>
  <c r="T55" i="1"/>
  <c r="R55" i="1" s="1"/>
  <c r="S55" i="1"/>
  <c r="O55" i="1"/>
  <c r="N55" i="1"/>
  <c r="M55" i="1"/>
  <c r="K55" i="1"/>
  <c r="J55" i="1"/>
  <c r="I55" i="1"/>
  <c r="H55" i="1"/>
  <c r="G55" i="1"/>
  <c r="F55" i="1"/>
  <c r="E55" i="1"/>
  <c r="D55" i="1"/>
  <c r="C55" i="1"/>
  <c r="B55" i="1"/>
  <c r="Y54" i="1"/>
  <c r="X54" i="1"/>
  <c r="W54" i="1"/>
  <c r="V54" i="1"/>
  <c r="U54" i="1"/>
  <c r="S54" i="1" s="1"/>
  <c r="T54" i="1"/>
  <c r="R54" i="1" s="1"/>
  <c r="M54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S53" i="1" s="1"/>
  <c r="T53" i="1"/>
  <c r="R53" i="1"/>
  <c r="O53" i="1"/>
  <c r="N53" i="1"/>
  <c r="M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U52" i="1"/>
  <c r="T52" i="1"/>
  <c r="Y52" i="1" s="1"/>
  <c r="S52" i="1"/>
  <c r="R52" i="1"/>
  <c r="M52" i="1"/>
  <c r="AH51" i="1"/>
  <c r="AG51" i="1"/>
  <c r="AE51" i="1"/>
  <c r="AD51" i="1"/>
  <c r="AC51" i="1"/>
  <c r="AB51" i="1"/>
  <c r="AA51" i="1"/>
  <c r="Z51" i="1"/>
  <c r="X51" i="1"/>
  <c r="W51" i="1"/>
  <c r="V51" i="1"/>
  <c r="U51" i="1"/>
  <c r="T51" i="1"/>
  <c r="R51" i="1" s="1"/>
  <c r="S51" i="1"/>
  <c r="O51" i="1"/>
  <c r="N51" i="1"/>
  <c r="M51" i="1"/>
  <c r="K51" i="1"/>
  <c r="J51" i="1"/>
  <c r="I51" i="1"/>
  <c r="H51" i="1"/>
  <c r="G51" i="1"/>
  <c r="F51" i="1"/>
  <c r="E51" i="1"/>
  <c r="D51" i="1"/>
  <c r="C51" i="1"/>
  <c r="B51" i="1"/>
  <c r="Y50" i="1"/>
  <c r="X50" i="1"/>
  <c r="W50" i="1"/>
  <c r="V50" i="1"/>
  <c r="U50" i="1"/>
  <c r="S50" i="1" s="1"/>
  <c r="T50" i="1"/>
  <c r="R50" i="1" s="1"/>
  <c r="M50" i="1"/>
  <c r="AH49" i="1"/>
  <c r="AG49" i="1"/>
  <c r="AE49" i="1"/>
  <c r="AD49" i="1"/>
  <c r="AC49" i="1"/>
  <c r="AB49" i="1"/>
  <c r="AA49" i="1"/>
  <c r="Z49" i="1"/>
  <c r="Y49" i="1"/>
  <c r="X49" i="1"/>
  <c r="W49" i="1"/>
  <c r="V49" i="1"/>
  <c r="U49" i="1"/>
  <c r="S49" i="1" s="1"/>
  <c r="T49" i="1"/>
  <c r="R49" i="1"/>
  <c r="O49" i="1"/>
  <c r="N49" i="1"/>
  <c r="M49" i="1"/>
  <c r="K49" i="1"/>
  <c r="J49" i="1"/>
  <c r="I49" i="1"/>
  <c r="H49" i="1"/>
  <c r="G49" i="1"/>
  <c r="F49" i="1"/>
  <c r="E49" i="1"/>
  <c r="D49" i="1"/>
  <c r="C49" i="1"/>
  <c r="B49" i="1"/>
  <c r="AH46" i="1"/>
  <c r="AG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O46" i="1"/>
  <c r="N46" i="1"/>
  <c r="M46" i="1"/>
  <c r="K46" i="1"/>
  <c r="J46" i="1"/>
  <c r="I46" i="1"/>
  <c r="H46" i="1"/>
  <c r="G46" i="1"/>
  <c r="F46" i="1"/>
  <c r="E46" i="1"/>
  <c r="D46" i="1"/>
  <c r="C46" i="1"/>
  <c r="B46" i="1"/>
  <c r="AH45" i="1"/>
  <c r="AG45" i="1"/>
  <c r="AE45" i="1"/>
  <c r="AD45" i="1"/>
  <c r="AC45" i="1"/>
  <c r="AB45" i="1"/>
  <c r="AA45" i="1"/>
  <c r="Z45" i="1"/>
  <c r="X45" i="1"/>
  <c r="W45" i="1"/>
  <c r="V45" i="1"/>
  <c r="U45" i="1"/>
  <c r="T45" i="1"/>
  <c r="R45" i="1" s="1"/>
  <c r="S45" i="1"/>
  <c r="O45" i="1"/>
  <c r="N45" i="1"/>
  <c r="M45" i="1"/>
  <c r="K45" i="1"/>
  <c r="J45" i="1"/>
  <c r="I45" i="1"/>
  <c r="H45" i="1"/>
  <c r="G45" i="1"/>
  <c r="F45" i="1"/>
  <c r="E45" i="1"/>
  <c r="D45" i="1"/>
  <c r="C45" i="1"/>
  <c r="B45" i="1"/>
  <c r="AC42" i="1"/>
  <c r="Y42" i="1"/>
  <c r="X42" i="1"/>
  <c r="W42" i="1"/>
  <c r="V42" i="1"/>
  <c r="U42" i="1"/>
  <c r="S42" i="1" s="1"/>
  <c r="T42" i="1"/>
  <c r="R42" i="1"/>
  <c r="M42" i="1"/>
  <c r="AH41" i="1"/>
  <c r="AG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O41" i="1"/>
  <c r="N41" i="1"/>
  <c r="M41" i="1"/>
  <c r="K41" i="1"/>
  <c r="J41" i="1"/>
  <c r="I41" i="1"/>
  <c r="H41" i="1"/>
  <c r="G41" i="1"/>
  <c r="F41" i="1"/>
  <c r="E41" i="1"/>
  <c r="D41" i="1"/>
  <c r="C41" i="1"/>
  <c r="B41" i="1"/>
  <c r="AE40" i="1"/>
  <c r="AC40" i="1"/>
  <c r="Z40" i="1"/>
  <c r="Y40" i="1"/>
  <c r="X40" i="1"/>
  <c r="W40" i="1"/>
  <c r="V40" i="1"/>
  <c r="U40" i="1"/>
  <c r="T40" i="1"/>
  <c r="S40" i="1"/>
  <c r="R40" i="1"/>
  <c r="AH39" i="1"/>
  <c r="AG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O39" i="1"/>
  <c r="N39" i="1"/>
  <c r="M39" i="1"/>
  <c r="K39" i="1"/>
  <c r="J39" i="1"/>
  <c r="I39" i="1"/>
  <c r="H39" i="1"/>
  <c r="G39" i="1"/>
  <c r="F39" i="1"/>
  <c r="E39" i="1"/>
  <c r="D39" i="1"/>
  <c r="C39" i="1"/>
  <c r="B39" i="1"/>
  <c r="AH38" i="1"/>
  <c r="AG38" i="1"/>
  <c r="AE38" i="1"/>
  <c r="AD38" i="1"/>
  <c r="AC38" i="1"/>
  <c r="AB38" i="1"/>
  <c r="AA38" i="1"/>
  <c r="Z38" i="1"/>
  <c r="X38" i="1"/>
  <c r="W38" i="1"/>
  <c r="V38" i="1"/>
  <c r="U38" i="1"/>
  <c r="T38" i="1"/>
  <c r="R38" i="1" s="1"/>
  <c r="S38" i="1"/>
  <c r="O38" i="1"/>
  <c r="N38" i="1"/>
  <c r="M38" i="1"/>
  <c r="K38" i="1"/>
  <c r="J38" i="1"/>
  <c r="I38" i="1"/>
  <c r="H38" i="1"/>
  <c r="G38" i="1"/>
  <c r="F38" i="1"/>
  <c r="E38" i="1"/>
  <c r="D38" i="1"/>
  <c r="C38" i="1"/>
  <c r="B38" i="1"/>
  <c r="AH37" i="1"/>
  <c r="AG37" i="1"/>
  <c r="AE37" i="1"/>
  <c r="AD37" i="1"/>
  <c r="AC37" i="1"/>
  <c r="AB37" i="1"/>
  <c r="AA37" i="1"/>
  <c r="Z37" i="1"/>
  <c r="Y37" i="1"/>
  <c r="X37" i="1"/>
  <c r="W37" i="1"/>
  <c r="V37" i="1"/>
  <c r="U37" i="1"/>
  <c r="S37" i="1" s="1"/>
  <c r="T37" i="1"/>
  <c r="R37" i="1" s="1"/>
  <c r="O37" i="1"/>
  <c r="N37" i="1"/>
  <c r="M37" i="1"/>
  <c r="K37" i="1"/>
  <c r="J37" i="1"/>
  <c r="I37" i="1"/>
  <c r="H37" i="1"/>
  <c r="G37" i="1"/>
  <c r="F37" i="1"/>
  <c r="E37" i="1"/>
  <c r="D37" i="1"/>
  <c r="C37" i="1"/>
  <c r="B37" i="1"/>
  <c r="AD36" i="1"/>
  <c r="AC36" i="1"/>
  <c r="Z36" i="1"/>
  <c r="Y36" i="1"/>
  <c r="X36" i="1"/>
  <c r="W36" i="1"/>
  <c r="V36" i="1"/>
  <c r="U36" i="1"/>
  <c r="S36" i="1" s="1"/>
  <c r="T36" i="1"/>
  <c r="R36" i="1" s="1"/>
  <c r="I36" i="1"/>
  <c r="AH35" i="1"/>
  <c r="AG35" i="1"/>
  <c r="AE35" i="1"/>
  <c r="AD35" i="1"/>
  <c r="AC35" i="1"/>
  <c r="AB35" i="1"/>
  <c r="AA35" i="1"/>
  <c r="Z35" i="1"/>
  <c r="Y35" i="1"/>
  <c r="X35" i="1"/>
  <c r="W35" i="1"/>
  <c r="V35" i="1"/>
  <c r="U35" i="1"/>
  <c r="S35" i="1" s="1"/>
  <c r="T35" i="1"/>
  <c r="R35" i="1"/>
  <c r="O35" i="1"/>
  <c r="N35" i="1"/>
  <c r="M35" i="1"/>
  <c r="K35" i="1"/>
  <c r="J35" i="1"/>
  <c r="I35" i="1"/>
  <c r="H35" i="1"/>
  <c r="G35" i="1"/>
  <c r="F35" i="1"/>
  <c r="E35" i="1"/>
  <c r="D35" i="1"/>
  <c r="C35" i="1"/>
  <c r="B35" i="1"/>
  <c r="AC34" i="1"/>
  <c r="X34" i="1"/>
  <c r="W34" i="1"/>
  <c r="V34" i="1"/>
  <c r="U34" i="1"/>
  <c r="T34" i="1"/>
  <c r="R34" i="1" s="1"/>
  <c r="S34" i="1"/>
  <c r="M34" i="1"/>
  <c r="AH33" i="1"/>
  <c r="AG33" i="1"/>
  <c r="AE33" i="1"/>
  <c r="AD33" i="1"/>
  <c r="AC33" i="1"/>
  <c r="AB33" i="1"/>
  <c r="AA33" i="1"/>
  <c r="Z33" i="1"/>
  <c r="Y33" i="1"/>
  <c r="X33" i="1"/>
  <c r="W33" i="1"/>
  <c r="V33" i="1"/>
  <c r="U33" i="1"/>
  <c r="S33" i="1" s="1"/>
  <c r="T33" i="1"/>
  <c r="R33" i="1" s="1"/>
  <c r="O33" i="1"/>
  <c r="N33" i="1"/>
  <c r="M33" i="1"/>
  <c r="K33" i="1"/>
  <c r="J33" i="1"/>
  <c r="I33" i="1"/>
  <c r="H33" i="1"/>
  <c r="G33" i="1"/>
  <c r="F33" i="1"/>
  <c r="E33" i="1"/>
  <c r="D33" i="1"/>
  <c r="C33" i="1"/>
  <c r="B33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S32" i="1" s="1"/>
  <c r="T32" i="1"/>
  <c r="R32" i="1"/>
  <c r="O32" i="1"/>
  <c r="N32" i="1"/>
  <c r="M32" i="1"/>
  <c r="K32" i="1"/>
  <c r="J32" i="1"/>
  <c r="I32" i="1"/>
  <c r="H32" i="1"/>
  <c r="G32" i="1"/>
  <c r="F32" i="1"/>
  <c r="E32" i="1"/>
  <c r="D32" i="1"/>
  <c r="C32" i="1"/>
  <c r="B32" i="1"/>
  <c r="AH29" i="1"/>
  <c r="AG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O29" i="1"/>
  <c r="N29" i="1"/>
  <c r="M29" i="1"/>
  <c r="K29" i="1"/>
  <c r="J29" i="1"/>
  <c r="I29" i="1"/>
  <c r="H29" i="1"/>
  <c r="G29" i="1"/>
  <c r="F29" i="1"/>
  <c r="E29" i="1"/>
  <c r="D29" i="1"/>
  <c r="C29" i="1"/>
  <c r="B29" i="1"/>
  <c r="AH28" i="1"/>
  <c r="AG28" i="1"/>
  <c r="AE28" i="1"/>
  <c r="AD28" i="1"/>
  <c r="AC28" i="1"/>
  <c r="AB28" i="1"/>
  <c r="AA28" i="1"/>
  <c r="Z28" i="1"/>
  <c r="X28" i="1"/>
  <c r="W28" i="1"/>
  <c r="V28" i="1"/>
  <c r="U28" i="1"/>
  <c r="T28" i="1"/>
  <c r="R28" i="1" s="1"/>
  <c r="S28" i="1"/>
  <c r="O28" i="1"/>
  <c r="N28" i="1"/>
  <c r="M28" i="1"/>
  <c r="K28" i="1"/>
  <c r="J28" i="1"/>
  <c r="I28" i="1"/>
  <c r="H28" i="1"/>
  <c r="G28" i="1"/>
  <c r="F28" i="1"/>
  <c r="E28" i="1"/>
  <c r="D28" i="1"/>
  <c r="C28" i="1"/>
  <c r="B28" i="1"/>
  <c r="AH27" i="1"/>
  <c r="AG27" i="1"/>
  <c r="AE27" i="1"/>
  <c r="AD27" i="1"/>
  <c r="AC27" i="1"/>
  <c r="AB27" i="1"/>
  <c r="AA27" i="1"/>
  <c r="Z27" i="1"/>
  <c r="Y27" i="1"/>
  <c r="X27" i="1"/>
  <c r="W27" i="1"/>
  <c r="V27" i="1"/>
  <c r="U27" i="1"/>
  <c r="S27" i="1" s="1"/>
  <c r="T27" i="1"/>
  <c r="R27" i="1" s="1"/>
  <c r="O27" i="1"/>
  <c r="N27" i="1"/>
  <c r="M27" i="1"/>
  <c r="K27" i="1"/>
  <c r="J27" i="1"/>
  <c r="I27" i="1"/>
  <c r="H27" i="1"/>
  <c r="G27" i="1"/>
  <c r="F27" i="1"/>
  <c r="E27" i="1"/>
  <c r="D27" i="1"/>
  <c r="C27" i="1"/>
  <c r="B27" i="1"/>
  <c r="AH26" i="1"/>
  <c r="AG26" i="1"/>
  <c r="AE26" i="1"/>
  <c r="AD26" i="1"/>
  <c r="AC26" i="1"/>
  <c r="AB26" i="1"/>
  <c r="AA26" i="1"/>
  <c r="Z26" i="1"/>
  <c r="Y26" i="1"/>
  <c r="X26" i="1"/>
  <c r="W26" i="1"/>
  <c r="V26" i="1"/>
  <c r="U26" i="1"/>
  <c r="S26" i="1" s="1"/>
  <c r="T26" i="1"/>
  <c r="R26" i="1"/>
  <c r="O26" i="1"/>
  <c r="N26" i="1"/>
  <c r="M26" i="1"/>
  <c r="K26" i="1"/>
  <c r="J26" i="1"/>
  <c r="I26" i="1"/>
  <c r="H26" i="1"/>
  <c r="G26" i="1"/>
  <c r="F26" i="1"/>
  <c r="E26" i="1"/>
  <c r="D26" i="1"/>
  <c r="C26" i="1"/>
  <c r="B26" i="1"/>
  <c r="AH25" i="1"/>
  <c r="AG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O25" i="1"/>
  <c r="N25" i="1"/>
  <c r="M25" i="1"/>
  <c r="K25" i="1"/>
  <c r="J25" i="1"/>
  <c r="I25" i="1"/>
  <c r="H25" i="1"/>
  <c r="G25" i="1"/>
  <c r="F25" i="1"/>
  <c r="E25" i="1"/>
  <c r="D25" i="1"/>
  <c r="C25" i="1"/>
  <c r="B25" i="1"/>
  <c r="AH24" i="1"/>
  <c r="AG24" i="1"/>
  <c r="AE24" i="1"/>
  <c r="AD24" i="1"/>
  <c r="AC24" i="1"/>
  <c r="AB24" i="1"/>
  <c r="AA24" i="1"/>
  <c r="Z24" i="1"/>
  <c r="X24" i="1"/>
  <c r="W24" i="1"/>
  <c r="V24" i="1"/>
  <c r="U24" i="1"/>
  <c r="T24" i="1"/>
  <c r="R24" i="1" s="1"/>
  <c r="S24" i="1"/>
  <c r="O24" i="1"/>
  <c r="N24" i="1"/>
  <c r="M24" i="1"/>
  <c r="K24" i="1"/>
  <c r="J24" i="1"/>
  <c r="I24" i="1"/>
  <c r="H24" i="1"/>
  <c r="G24" i="1"/>
  <c r="F24" i="1"/>
  <c r="E24" i="1"/>
  <c r="D24" i="1"/>
  <c r="C24" i="1"/>
  <c r="B24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S23" i="1" s="1"/>
  <c r="T23" i="1"/>
  <c r="R23" i="1" s="1"/>
  <c r="O23" i="1"/>
  <c r="N23" i="1"/>
  <c r="M23" i="1"/>
  <c r="K23" i="1"/>
  <c r="J23" i="1"/>
  <c r="I23" i="1"/>
  <c r="H23" i="1"/>
  <c r="G23" i="1"/>
  <c r="F23" i="1"/>
  <c r="E23" i="1"/>
  <c r="D23" i="1"/>
  <c r="C23" i="1"/>
  <c r="B23" i="1"/>
  <c r="AH20" i="1"/>
  <c r="AG20" i="1"/>
  <c r="AE20" i="1"/>
  <c r="AD20" i="1"/>
  <c r="AC20" i="1"/>
  <c r="AB20" i="1"/>
  <c r="AA20" i="1"/>
  <c r="Z20" i="1"/>
  <c r="Y20" i="1"/>
  <c r="X20" i="1"/>
  <c r="W20" i="1"/>
  <c r="V20" i="1"/>
  <c r="U20" i="1"/>
  <c r="S20" i="1" s="1"/>
  <c r="T20" i="1"/>
  <c r="R20" i="1"/>
  <c r="O20" i="1"/>
  <c r="N20" i="1"/>
  <c r="M20" i="1"/>
  <c r="K20" i="1"/>
  <c r="J20" i="1"/>
  <c r="I20" i="1"/>
  <c r="H20" i="1"/>
  <c r="G20" i="1"/>
  <c r="F20" i="1"/>
  <c r="E20" i="1"/>
  <c r="D20" i="1"/>
  <c r="C20" i="1"/>
  <c r="B20" i="1"/>
  <c r="AH19" i="1"/>
  <c r="AG19" i="1"/>
  <c r="AE19" i="1"/>
  <c r="AD19" i="1"/>
  <c r="AC19" i="1"/>
  <c r="AB19" i="1"/>
  <c r="AA19" i="1"/>
  <c r="Z19" i="1"/>
  <c r="X19" i="1"/>
  <c r="W19" i="1"/>
  <c r="V19" i="1"/>
  <c r="U19" i="1"/>
  <c r="T19" i="1"/>
  <c r="Y19" i="1" s="1"/>
  <c r="S19" i="1"/>
  <c r="R19" i="1"/>
  <c r="O19" i="1"/>
  <c r="N19" i="1"/>
  <c r="M19" i="1"/>
  <c r="K19" i="1"/>
  <c r="J19" i="1"/>
  <c r="I19" i="1"/>
  <c r="H19" i="1"/>
  <c r="G19" i="1"/>
  <c r="F19" i="1"/>
  <c r="E19" i="1"/>
  <c r="D19" i="1"/>
  <c r="C19" i="1"/>
  <c r="B19" i="1"/>
  <c r="AH18" i="1"/>
  <c r="AG18" i="1"/>
  <c r="AE18" i="1"/>
  <c r="AD18" i="1"/>
  <c r="AC18" i="1"/>
  <c r="AB18" i="1"/>
  <c r="AA18" i="1"/>
  <c r="Z18" i="1"/>
  <c r="X18" i="1"/>
  <c r="W18" i="1"/>
  <c r="V18" i="1"/>
  <c r="U18" i="1"/>
  <c r="T18" i="1"/>
  <c r="R18" i="1" s="1"/>
  <c r="S18" i="1"/>
  <c r="O18" i="1"/>
  <c r="N18" i="1"/>
  <c r="M18" i="1"/>
  <c r="K18" i="1"/>
  <c r="J18" i="1"/>
  <c r="I18" i="1"/>
  <c r="H18" i="1"/>
  <c r="G18" i="1"/>
  <c r="F18" i="1"/>
  <c r="E18" i="1"/>
  <c r="D18" i="1"/>
  <c r="C18" i="1"/>
  <c r="B18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S17" i="1" s="1"/>
  <c r="T17" i="1"/>
  <c r="R17" i="1" s="1"/>
  <c r="O17" i="1"/>
  <c r="N17" i="1"/>
  <c r="M17" i="1"/>
  <c r="K17" i="1"/>
  <c r="J17" i="1"/>
  <c r="I17" i="1"/>
  <c r="H17" i="1"/>
  <c r="G17" i="1"/>
  <c r="F17" i="1"/>
  <c r="E17" i="1"/>
  <c r="D17" i="1"/>
  <c r="C17" i="1"/>
  <c r="B17" i="1"/>
  <c r="AG14" i="1"/>
  <c r="AE14" i="1"/>
  <c r="AD14" i="1"/>
  <c r="AC14" i="1"/>
  <c r="AB14" i="1"/>
  <c r="AA14" i="1"/>
  <c r="Z14" i="1"/>
  <c r="Y14" i="1"/>
  <c r="X14" i="1"/>
  <c r="W14" i="1"/>
  <c r="V14" i="1"/>
  <c r="U14" i="1"/>
  <c r="S14" i="1" s="1"/>
  <c r="T14" i="1"/>
  <c r="R14" i="1"/>
  <c r="O14" i="1"/>
  <c r="N14" i="1"/>
  <c r="M14" i="1"/>
  <c r="K14" i="1"/>
  <c r="J14" i="1"/>
  <c r="I14" i="1"/>
  <c r="H14" i="1"/>
  <c r="G14" i="1"/>
  <c r="F14" i="1"/>
  <c r="E14" i="1"/>
  <c r="D14" i="1"/>
  <c r="C14" i="1"/>
  <c r="B14" i="1"/>
  <c r="AH13" i="1"/>
  <c r="AG13" i="1"/>
  <c r="AE13" i="1"/>
  <c r="AD13" i="1"/>
  <c r="AC13" i="1"/>
  <c r="AB13" i="1"/>
  <c r="AA13" i="1"/>
  <c r="Z13" i="1"/>
  <c r="X13" i="1"/>
  <c r="W13" i="1"/>
  <c r="V13" i="1"/>
  <c r="U13" i="1"/>
  <c r="T13" i="1"/>
  <c r="Y13" i="1" s="1"/>
  <c r="S13" i="1"/>
  <c r="R13" i="1"/>
  <c r="O13" i="1"/>
  <c r="N13" i="1"/>
  <c r="M13" i="1"/>
  <c r="K13" i="1"/>
  <c r="J13" i="1"/>
  <c r="I13" i="1"/>
  <c r="H13" i="1"/>
  <c r="G13" i="1"/>
  <c r="F13" i="1"/>
  <c r="E13" i="1"/>
  <c r="D13" i="1"/>
  <c r="C13" i="1"/>
  <c r="B13" i="1"/>
  <c r="AH12" i="1"/>
  <c r="AG12" i="1"/>
  <c r="AE12" i="1"/>
  <c r="AD12" i="1"/>
  <c r="AC12" i="1"/>
  <c r="AB12" i="1"/>
  <c r="AA12" i="1"/>
  <c r="Z12" i="1"/>
  <c r="X12" i="1"/>
  <c r="W12" i="1"/>
  <c r="V12" i="1"/>
  <c r="U12" i="1"/>
  <c r="T12" i="1"/>
  <c r="R12" i="1" s="1"/>
  <c r="S12" i="1"/>
  <c r="O12" i="1"/>
  <c r="N12" i="1"/>
  <c r="M12" i="1"/>
  <c r="K12" i="1"/>
  <c r="J12" i="1"/>
  <c r="I12" i="1"/>
  <c r="H12" i="1"/>
  <c r="G12" i="1"/>
  <c r="F12" i="1"/>
  <c r="E12" i="1"/>
  <c r="D12" i="1"/>
  <c r="C12" i="1"/>
  <c r="B12" i="1"/>
  <c r="AC11" i="1"/>
  <c r="Z11" i="1"/>
  <c r="X11" i="1"/>
  <c r="W11" i="1"/>
  <c r="V11" i="1"/>
  <c r="U11" i="1"/>
  <c r="T11" i="1"/>
  <c r="Y11" i="1" s="1"/>
  <c r="S11" i="1"/>
  <c r="R11" i="1"/>
  <c r="AH10" i="1"/>
  <c r="AG10" i="1"/>
  <c r="AE10" i="1"/>
  <c r="AD10" i="1"/>
  <c r="AC10" i="1"/>
  <c r="AB10" i="1"/>
  <c r="AA10" i="1"/>
  <c r="Z10" i="1"/>
  <c r="X10" i="1"/>
  <c r="W10" i="1"/>
  <c r="V10" i="1"/>
  <c r="U10" i="1"/>
  <c r="T10" i="1"/>
  <c r="Y10" i="1" s="1"/>
  <c r="S10" i="1"/>
  <c r="R10" i="1"/>
  <c r="O10" i="1"/>
  <c r="N10" i="1"/>
  <c r="M10" i="1"/>
  <c r="K10" i="1"/>
  <c r="J10" i="1"/>
  <c r="I10" i="1"/>
  <c r="H10" i="1"/>
  <c r="G10" i="1"/>
  <c r="F10" i="1"/>
  <c r="E10" i="1"/>
  <c r="D10" i="1"/>
  <c r="C10" i="1"/>
  <c r="B10" i="1"/>
  <c r="AH9" i="1"/>
  <c r="AG9" i="1"/>
  <c r="AE9" i="1"/>
  <c r="AD9" i="1"/>
  <c r="AC9" i="1"/>
  <c r="AB9" i="1"/>
  <c r="AA9" i="1"/>
  <c r="Z9" i="1"/>
  <c r="X9" i="1"/>
  <c r="W9" i="1"/>
  <c r="V9" i="1"/>
  <c r="U9" i="1"/>
  <c r="T9" i="1"/>
  <c r="R9" i="1" s="1"/>
  <c r="S9" i="1"/>
  <c r="O9" i="1"/>
  <c r="N9" i="1"/>
  <c r="M9" i="1"/>
  <c r="K9" i="1"/>
  <c r="J9" i="1"/>
  <c r="I9" i="1"/>
  <c r="H9" i="1"/>
  <c r="G9" i="1"/>
  <c r="F9" i="1"/>
  <c r="E9" i="1"/>
  <c r="D9" i="1"/>
  <c r="C9" i="1"/>
  <c r="B9" i="1"/>
  <c r="AE8" i="1"/>
  <c r="AC8" i="1"/>
  <c r="Z8" i="1"/>
  <c r="X8" i="1"/>
  <c r="W8" i="1"/>
  <c r="V8" i="1"/>
  <c r="U8" i="1"/>
  <c r="T8" i="1"/>
  <c r="R8" i="1" s="1"/>
  <c r="S8" i="1"/>
  <c r="I8" i="1"/>
  <c r="AH7" i="1"/>
  <c r="AG7" i="1"/>
  <c r="AE7" i="1"/>
  <c r="AD7" i="1"/>
  <c r="AC7" i="1"/>
  <c r="AB7" i="1"/>
  <c r="AA7" i="1"/>
  <c r="Z7" i="1"/>
  <c r="Y7" i="1"/>
  <c r="X7" i="1"/>
  <c r="W7" i="1"/>
  <c r="V7" i="1"/>
  <c r="U7" i="1"/>
  <c r="S7" i="1" s="1"/>
  <c r="T7" i="1"/>
  <c r="R7" i="1" s="1"/>
  <c r="O7" i="1"/>
  <c r="N7" i="1"/>
  <c r="M7" i="1"/>
  <c r="K7" i="1"/>
  <c r="J7" i="1"/>
  <c r="I7" i="1"/>
  <c r="H7" i="1"/>
  <c r="G7" i="1"/>
  <c r="F7" i="1"/>
  <c r="E7" i="1"/>
  <c r="D7" i="1"/>
  <c r="C7" i="1"/>
  <c r="B7" i="1"/>
  <c r="AH6" i="1"/>
  <c r="AG6" i="1"/>
  <c r="AE6" i="1"/>
  <c r="AD6" i="1"/>
  <c r="AC6" i="1"/>
  <c r="AB6" i="1"/>
  <c r="AA6" i="1"/>
  <c r="Z6" i="1"/>
  <c r="Y6" i="1"/>
  <c r="X6" i="1"/>
  <c r="W6" i="1"/>
  <c r="V6" i="1"/>
  <c r="U6" i="1"/>
  <c r="S6" i="1" s="1"/>
  <c r="T6" i="1"/>
  <c r="R6" i="1"/>
  <c r="O6" i="1"/>
  <c r="N6" i="1"/>
  <c r="M6" i="1"/>
  <c r="K6" i="1"/>
  <c r="J6" i="1"/>
  <c r="I6" i="1"/>
  <c r="H6" i="1"/>
  <c r="G6" i="1"/>
  <c r="F6" i="1"/>
  <c r="E6" i="1"/>
  <c r="D6" i="1"/>
  <c r="C6" i="1"/>
  <c r="B6" i="1"/>
  <c r="AH5" i="1"/>
  <c r="AG5" i="1"/>
  <c r="AE5" i="1"/>
  <c r="AD5" i="1"/>
  <c r="AC5" i="1"/>
  <c r="AB5" i="1"/>
  <c r="AA5" i="1"/>
  <c r="Z5" i="1"/>
  <c r="X5" i="1"/>
  <c r="W5" i="1"/>
  <c r="V5" i="1"/>
  <c r="U5" i="1"/>
  <c r="T5" i="1"/>
  <c r="Y5" i="1" s="1"/>
  <c r="S5" i="1"/>
  <c r="R5" i="1"/>
  <c r="O5" i="1"/>
  <c r="N5" i="1"/>
  <c r="M5" i="1"/>
  <c r="K5" i="1"/>
  <c r="J5" i="1"/>
  <c r="I5" i="1"/>
  <c r="H5" i="1"/>
  <c r="G5" i="1"/>
  <c r="F5" i="1"/>
  <c r="E5" i="1"/>
  <c r="D5" i="1"/>
  <c r="C5" i="1"/>
  <c r="B5" i="1"/>
  <c r="AE4" i="1"/>
  <c r="AD4" i="1"/>
  <c r="AC4" i="1"/>
  <c r="Z4" i="1"/>
  <c r="X4" i="1"/>
  <c r="W4" i="1"/>
  <c r="V4" i="1"/>
  <c r="U4" i="1"/>
  <c r="G3" i="7" s="1"/>
  <c r="T4" i="1"/>
  <c r="G3" i="5" s="1"/>
  <c r="S4" i="1"/>
  <c r="M4" i="1"/>
  <c r="I4" i="1"/>
  <c r="AH3" i="1"/>
  <c r="AG3" i="1"/>
  <c r="AE3" i="1"/>
  <c r="AD3" i="1"/>
  <c r="AC3" i="1"/>
  <c r="AB3" i="1"/>
  <c r="AA3" i="1"/>
  <c r="Z3" i="1"/>
  <c r="Y3" i="1"/>
  <c r="X3" i="1"/>
  <c r="W3" i="1"/>
  <c r="O3" i="1"/>
  <c r="N3" i="1"/>
  <c r="M3" i="1"/>
  <c r="K3" i="1"/>
  <c r="J3" i="1"/>
  <c r="I3" i="1"/>
  <c r="H3" i="1"/>
  <c r="G3" i="1"/>
  <c r="F3" i="1"/>
  <c r="E3" i="1"/>
  <c r="D3" i="1"/>
  <c r="C3" i="1"/>
  <c r="B3" i="1"/>
  <c r="AH2" i="1"/>
  <c r="AG2" i="1"/>
  <c r="AE2" i="1"/>
  <c r="AD2" i="1"/>
  <c r="AC2" i="1"/>
  <c r="AB2" i="1"/>
  <c r="AA2" i="1"/>
  <c r="Z2" i="1"/>
  <c r="Y2" i="1"/>
  <c r="X2" i="1"/>
  <c r="W2" i="1"/>
  <c r="V2" i="1"/>
  <c r="U2" i="1"/>
  <c r="S2" i="1" s="1"/>
  <c r="T2" i="1"/>
  <c r="R2" i="1"/>
  <c r="O2" i="1"/>
  <c r="N2" i="1"/>
  <c r="M2" i="1"/>
  <c r="K2" i="1"/>
  <c r="J2" i="1"/>
  <c r="I2" i="1"/>
  <c r="H2" i="1"/>
  <c r="G2" i="1"/>
  <c r="F2" i="1"/>
  <c r="E2" i="1"/>
  <c r="D2" i="1"/>
  <c r="C2" i="1"/>
  <c r="B2" i="1"/>
  <c r="J16" i="7" l="1"/>
  <c r="K16" i="6"/>
  <c r="J35" i="7"/>
  <c r="K35" i="6"/>
  <c r="H5" i="5"/>
  <c r="I5" i="4"/>
  <c r="AU5" i="3"/>
  <c r="AU32" i="3"/>
  <c r="AU3" i="3"/>
  <c r="AU22" i="3"/>
  <c r="AU38" i="3"/>
  <c r="AU44" i="3"/>
  <c r="J15" i="5"/>
  <c r="K15" i="4"/>
  <c r="H6" i="5"/>
  <c r="I6" i="4"/>
  <c r="AU9" i="3"/>
  <c r="AU26" i="3"/>
  <c r="F2" i="8"/>
  <c r="G2" i="5"/>
  <c r="N2" i="3"/>
  <c r="R2" i="3"/>
  <c r="AO2" i="3"/>
  <c r="AT2" i="3"/>
  <c r="AD3" i="3"/>
  <c r="AN3" i="3"/>
  <c r="E4" i="3"/>
  <c r="P4" i="3"/>
  <c r="AP5" i="3"/>
  <c r="BI5" i="3"/>
  <c r="F6" i="8"/>
  <c r="I6" i="8"/>
  <c r="H6" i="8"/>
  <c r="G6" i="5"/>
  <c r="AO6" i="3"/>
  <c r="AT6" i="3"/>
  <c r="AD7" i="3"/>
  <c r="AN7" i="3"/>
  <c r="E8" i="3"/>
  <c r="P8" i="3"/>
  <c r="AC8" i="3"/>
  <c r="AG8" i="3"/>
  <c r="AR8" i="3"/>
  <c r="AU8" i="3" s="1"/>
  <c r="O9" i="3"/>
  <c r="AB9" i="3"/>
  <c r="AF9" i="3"/>
  <c r="AP9" i="3"/>
  <c r="BI9" i="3"/>
  <c r="F10" i="8"/>
  <c r="I10" i="8"/>
  <c r="H10" i="8"/>
  <c r="G10" i="8"/>
  <c r="G10" i="5"/>
  <c r="AO10" i="3"/>
  <c r="AT10" i="3"/>
  <c r="F11" i="3"/>
  <c r="AN11" i="3"/>
  <c r="E14" i="3"/>
  <c r="BI14" i="3"/>
  <c r="G15" i="8"/>
  <c r="F15" i="8"/>
  <c r="I15" i="8"/>
  <c r="H15" i="8"/>
  <c r="G15" i="5"/>
  <c r="AS15" i="3"/>
  <c r="E16" i="3"/>
  <c r="BI16" i="3"/>
  <c r="F17" i="8"/>
  <c r="H17" i="8"/>
  <c r="G17" i="8"/>
  <c r="G17" i="5"/>
  <c r="M17" i="3"/>
  <c r="AO17" i="3"/>
  <c r="AT17" i="3"/>
  <c r="L20" i="3"/>
  <c r="J20" i="4" s="1"/>
  <c r="AN20" i="3"/>
  <c r="E21" i="3"/>
  <c r="AB21" i="3"/>
  <c r="AR21" i="3"/>
  <c r="AU21" i="3" s="1"/>
  <c r="AP22" i="3"/>
  <c r="BI22" i="3"/>
  <c r="F23" i="8"/>
  <c r="H23" i="8"/>
  <c r="G23" i="8"/>
  <c r="G23" i="5"/>
  <c r="M23" i="3"/>
  <c r="AO23" i="3"/>
  <c r="AT23" i="3"/>
  <c r="L24" i="3"/>
  <c r="AN24" i="3"/>
  <c r="E25" i="3"/>
  <c r="AB25" i="3"/>
  <c r="AR25" i="3"/>
  <c r="AU25" i="3" s="1"/>
  <c r="AA26" i="3"/>
  <c r="AP26" i="3"/>
  <c r="BI26" i="3"/>
  <c r="G29" i="8"/>
  <c r="F29" i="8"/>
  <c r="G29" i="5"/>
  <c r="AO29" i="3"/>
  <c r="AT29" i="3"/>
  <c r="L30" i="3"/>
  <c r="AN30" i="3"/>
  <c r="E31" i="3"/>
  <c r="AR31" i="3"/>
  <c r="AU31" i="3" s="1"/>
  <c r="AP32" i="3"/>
  <c r="BI32" i="3"/>
  <c r="G33" i="8"/>
  <c r="F33" i="8"/>
  <c r="I33" i="8"/>
  <c r="G33" i="5"/>
  <c r="AO33" i="3"/>
  <c r="AT33" i="3"/>
  <c r="J34" i="5"/>
  <c r="AN34" i="3"/>
  <c r="E35" i="3"/>
  <c r="AB35" i="3"/>
  <c r="AA38" i="3"/>
  <c r="J38" i="6" s="1"/>
  <c r="AP38" i="3"/>
  <c r="BI38" i="3"/>
  <c r="G39" i="8"/>
  <c r="F39" i="8"/>
  <c r="G39" i="5"/>
  <c r="AO39" i="3"/>
  <c r="AT39" i="3"/>
  <c r="L42" i="3"/>
  <c r="J42" i="4" s="1"/>
  <c r="AN42" i="3"/>
  <c r="E43" i="3"/>
  <c r="AB43" i="3"/>
  <c r="AR43" i="3"/>
  <c r="AU43" i="3" s="1"/>
  <c r="AA44" i="3"/>
  <c r="AP44" i="3"/>
  <c r="BI44" i="3"/>
  <c r="G45" i="8"/>
  <c r="G45" i="5"/>
  <c r="F45" i="8"/>
  <c r="H45" i="5"/>
  <c r="M45" i="3"/>
  <c r="AO45" i="3"/>
  <c r="AT45" i="3"/>
  <c r="I2" i="5"/>
  <c r="H3" i="5"/>
  <c r="H7" i="5"/>
  <c r="I8" i="5"/>
  <c r="H11" i="5"/>
  <c r="H14" i="5"/>
  <c r="I15" i="5"/>
  <c r="I20" i="5"/>
  <c r="J22" i="4"/>
  <c r="I22" i="5"/>
  <c r="H23" i="5"/>
  <c r="F3" i="8"/>
  <c r="G3" i="8"/>
  <c r="AE3" i="3"/>
  <c r="AO3" i="3"/>
  <c r="G4" i="7"/>
  <c r="H4" i="7"/>
  <c r="AN4" i="3"/>
  <c r="I7" i="8"/>
  <c r="H7" i="8"/>
  <c r="G7" i="8"/>
  <c r="J7" i="8"/>
  <c r="F7" i="8"/>
  <c r="G7" i="5"/>
  <c r="AE7" i="3"/>
  <c r="AO7" i="3"/>
  <c r="AN8" i="3"/>
  <c r="AC9" i="3"/>
  <c r="AG9" i="3"/>
  <c r="G11" i="8"/>
  <c r="F11" i="8"/>
  <c r="H11" i="8"/>
  <c r="G11" i="5"/>
  <c r="G11" i="3"/>
  <c r="AO11" i="3"/>
  <c r="AR14" i="3"/>
  <c r="AT15" i="3"/>
  <c r="AR16" i="3"/>
  <c r="AU16" i="3" s="1"/>
  <c r="AA17" i="3"/>
  <c r="G20" i="8"/>
  <c r="F20" i="8"/>
  <c r="G20" i="5"/>
  <c r="AO20" i="3"/>
  <c r="AN21" i="3"/>
  <c r="AA23" i="3"/>
  <c r="G24" i="8"/>
  <c r="F24" i="8"/>
  <c r="G24" i="5"/>
  <c r="AO24" i="3"/>
  <c r="AN25" i="3"/>
  <c r="F30" i="8"/>
  <c r="G30" i="8"/>
  <c r="H30" i="8"/>
  <c r="G30" i="5"/>
  <c r="AO30" i="3"/>
  <c r="AN31" i="3"/>
  <c r="J33" i="7"/>
  <c r="K33" i="6"/>
  <c r="F34" i="8"/>
  <c r="H34" i="8"/>
  <c r="G34" i="8"/>
  <c r="G34" i="5"/>
  <c r="AO34" i="3"/>
  <c r="H35" i="7"/>
  <c r="G35" i="7"/>
  <c r="L35" i="3"/>
  <c r="AN35" i="3"/>
  <c r="F42" i="8"/>
  <c r="G42" i="5"/>
  <c r="AO42" i="3"/>
  <c r="L43" i="3"/>
  <c r="J43" i="4" s="1"/>
  <c r="AN43" i="3"/>
  <c r="AA45" i="3"/>
  <c r="J2" i="5"/>
  <c r="I3" i="5"/>
  <c r="I7" i="5"/>
  <c r="J8" i="5"/>
  <c r="H9" i="5"/>
  <c r="H10" i="5"/>
  <c r="I11" i="5"/>
  <c r="I14" i="5"/>
  <c r="H16" i="5"/>
  <c r="I23" i="5"/>
  <c r="J23" i="4"/>
  <c r="H24" i="5"/>
  <c r="H30" i="5"/>
  <c r="I30" i="4"/>
  <c r="I31" i="5"/>
  <c r="J31" i="4"/>
  <c r="H34" i="5"/>
  <c r="Y4" i="1"/>
  <c r="Y8" i="1"/>
  <c r="Y9" i="1"/>
  <c r="Y12" i="1"/>
  <c r="Y18" i="1"/>
  <c r="Y24" i="1"/>
  <c r="Y28" i="1"/>
  <c r="Y34" i="1"/>
  <c r="Y38" i="1"/>
  <c r="Y45" i="1"/>
  <c r="Y51" i="1"/>
  <c r="Y55" i="1"/>
  <c r="Y56" i="1"/>
  <c r="E2" i="3"/>
  <c r="P2" i="3"/>
  <c r="AC2" i="3"/>
  <c r="AG2" i="3"/>
  <c r="AR2" i="3"/>
  <c r="AU2" i="3" s="1"/>
  <c r="O3" i="3"/>
  <c r="AB3" i="3"/>
  <c r="AF3" i="3"/>
  <c r="F4" i="8"/>
  <c r="G4" i="5"/>
  <c r="N4" i="3"/>
  <c r="R4" i="3"/>
  <c r="AE4" i="3"/>
  <c r="AO4" i="3"/>
  <c r="AT4" i="3"/>
  <c r="H5" i="7"/>
  <c r="I5" i="6"/>
  <c r="AN5" i="3"/>
  <c r="E6" i="3"/>
  <c r="AR6" i="3"/>
  <c r="O7" i="3"/>
  <c r="AB7" i="3"/>
  <c r="AF7" i="3"/>
  <c r="G8" i="8"/>
  <c r="F8" i="8"/>
  <c r="G8" i="5"/>
  <c r="N8" i="3"/>
  <c r="R8" i="3"/>
  <c r="AE8" i="3"/>
  <c r="AO8" i="3"/>
  <c r="AT8" i="3"/>
  <c r="M9" i="3"/>
  <c r="Q9" i="3"/>
  <c r="AD9" i="3"/>
  <c r="AN9" i="3"/>
  <c r="E10" i="3"/>
  <c r="AR10" i="3"/>
  <c r="AU10" i="3" s="1"/>
  <c r="F14" i="8"/>
  <c r="G14" i="5"/>
  <c r="L14" i="3"/>
  <c r="AN14" i="3"/>
  <c r="AS14" i="3"/>
  <c r="E15" i="3"/>
  <c r="AA15" i="3"/>
  <c r="AP15" i="3"/>
  <c r="G16" i="8"/>
  <c r="F16" i="8"/>
  <c r="G16" i="5"/>
  <c r="L16" i="3"/>
  <c r="AN16" i="3"/>
  <c r="AS16" i="3"/>
  <c r="E17" i="3"/>
  <c r="AR17" i="3"/>
  <c r="AA20" i="3"/>
  <c r="F21" i="8"/>
  <c r="H21" i="8"/>
  <c r="G21" i="8"/>
  <c r="G21" i="5"/>
  <c r="AO21" i="3"/>
  <c r="AT21" i="3"/>
  <c r="L22" i="3"/>
  <c r="AN22" i="3"/>
  <c r="E23" i="3"/>
  <c r="AR23" i="3"/>
  <c r="AA24" i="3"/>
  <c r="F25" i="8"/>
  <c r="H25" i="8"/>
  <c r="G25" i="8"/>
  <c r="G25" i="5"/>
  <c r="AO25" i="3"/>
  <c r="AT25" i="3"/>
  <c r="L26" i="3"/>
  <c r="AN26" i="3"/>
  <c r="E29" i="3"/>
  <c r="AR29" i="3"/>
  <c r="AA30" i="3"/>
  <c r="G31" i="8"/>
  <c r="F31" i="8"/>
  <c r="G31" i="5"/>
  <c r="AO31" i="3"/>
  <c r="AT31" i="3"/>
  <c r="AN32" i="3"/>
  <c r="E33" i="3"/>
  <c r="K34" i="6"/>
  <c r="J34" i="7"/>
  <c r="G35" i="8"/>
  <c r="F35" i="8"/>
  <c r="G35" i="5"/>
  <c r="AO35" i="3"/>
  <c r="AT35" i="3"/>
  <c r="G38" i="7"/>
  <c r="I38" i="7"/>
  <c r="L38" i="3"/>
  <c r="AN38" i="3"/>
  <c r="E39" i="3"/>
  <c r="AR39" i="3"/>
  <c r="AA42" i="3"/>
  <c r="F43" i="8"/>
  <c r="G43" i="8"/>
  <c r="G43" i="5"/>
  <c r="AO43" i="3"/>
  <c r="AT43" i="3"/>
  <c r="L44" i="3"/>
  <c r="AN44" i="3"/>
  <c r="E45" i="3"/>
  <c r="AR45" i="3"/>
  <c r="J3" i="4"/>
  <c r="H4" i="5"/>
  <c r="J7" i="4"/>
  <c r="K8" i="4"/>
  <c r="I9" i="4"/>
  <c r="I10" i="4"/>
  <c r="J11" i="4"/>
  <c r="J14" i="4"/>
  <c r="I16" i="4"/>
  <c r="H17" i="5"/>
  <c r="H21" i="5"/>
  <c r="I24" i="4"/>
  <c r="H25" i="5"/>
  <c r="H26" i="5"/>
  <c r="H29" i="5"/>
  <c r="H32" i="5"/>
  <c r="I32" i="4"/>
  <c r="R4" i="1"/>
  <c r="M2" i="3"/>
  <c r="K2" i="4" s="1"/>
  <c r="AN2" i="3"/>
  <c r="AS2" i="3"/>
  <c r="E3" i="3"/>
  <c r="AC3" i="3"/>
  <c r="AB4" i="3"/>
  <c r="H5" i="8"/>
  <c r="G5" i="8"/>
  <c r="F5" i="8"/>
  <c r="G5" i="5"/>
  <c r="AO5" i="3"/>
  <c r="H6" i="7"/>
  <c r="I6" i="6"/>
  <c r="AN6" i="3"/>
  <c r="AS6" i="3"/>
  <c r="E7" i="3"/>
  <c r="AC7" i="3"/>
  <c r="AR7" i="3"/>
  <c r="AU7" i="3" s="1"/>
  <c r="AB8" i="3"/>
  <c r="F9" i="8"/>
  <c r="G9" i="5"/>
  <c r="N9" i="3"/>
  <c r="AO9" i="3"/>
  <c r="AN10" i="3"/>
  <c r="AS10" i="3"/>
  <c r="E11" i="3"/>
  <c r="AR11" i="3"/>
  <c r="AU11" i="3" s="1"/>
  <c r="AR15" i="3"/>
  <c r="AU15" i="3" s="1"/>
  <c r="AO16" i="3"/>
  <c r="AN17" i="3"/>
  <c r="AS17" i="3"/>
  <c r="E20" i="3"/>
  <c r="AR20" i="3"/>
  <c r="AU20" i="3" s="1"/>
  <c r="G22" i="8"/>
  <c r="F22" i="8"/>
  <c r="G22" i="5"/>
  <c r="AO22" i="3"/>
  <c r="AN23" i="3"/>
  <c r="AS23" i="3"/>
  <c r="E24" i="3"/>
  <c r="AR24" i="3"/>
  <c r="AU24" i="3" s="1"/>
  <c r="G26" i="8"/>
  <c r="F26" i="8"/>
  <c r="G26" i="5"/>
  <c r="AO26" i="3"/>
  <c r="AN29" i="3"/>
  <c r="AS29" i="3"/>
  <c r="E30" i="3"/>
  <c r="AR30" i="3"/>
  <c r="AU30" i="3" s="1"/>
  <c r="F32" i="8"/>
  <c r="H32" i="8"/>
  <c r="G32" i="8"/>
  <c r="G32" i="5"/>
  <c r="AO32" i="3"/>
  <c r="H33" i="7"/>
  <c r="G33" i="7"/>
  <c r="AN33" i="3"/>
  <c r="AS33" i="3"/>
  <c r="AU33" i="3" s="1"/>
  <c r="E34" i="3"/>
  <c r="AR34" i="3"/>
  <c r="AU34" i="3" s="1"/>
  <c r="F38" i="8"/>
  <c r="G38" i="8"/>
  <c r="G38" i="5"/>
  <c r="AO38" i="3"/>
  <c r="AN39" i="3"/>
  <c r="AS39" i="3"/>
  <c r="E42" i="3"/>
  <c r="AR42" i="3"/>
  <c r="AU42" i="3" s="1"/>
  <c r="G44" i="8"/>
  <c r="F44" i="8"/>
  <c r="H44" i="8"/>
  <c r="G44" i="5"/>
  <c r="AO44" i="3"/>
  <c r="AN45" i="3"/>
  <c r="AS45" i="3"/>
  <c r="H2" i="5"/>
  <c r="I4" i="4"/>
  <c r="H8" i="5"/>
  <c r="H15" i="5"/>
  <c r="I17" i="4"/>
  <c r="H20" i="5"/>
  <c r="I21" i="4"/>
  <c r="H22" i="5"/>
  <c r="I25" i="4"/>
  <c r="I26" i="4"/>
  <c r="I29" i="4"/>
  <c r="K34" i="4"/>
  <c r="I39" i="5"/>
  <c r="H31" i="5"/>
  <c r="H33" i="5"/>
  <c r="I33" i="4"/>
  <c r="H35" i="5"/>
  <c r="I35" i="4"/>
  <c r="H44" i="5"/>
  <c r="H24" i="7"/>
  <c r="I24" i="6"/>
  <c r="I38" i="5"/>
  <c r="J39" i="5"/>
  <c r="I42" i="5"/>
  <c r="I44" i="5"/>
  <c r="J44" i="4"/>
  <c r="H2" i="7"/>
  <c r="I2" i="6"/>
  <c r="H8" i="7"/>
  <c r="I8" i="6"/>
  <c r="H10" i="7"/>
  <c r="H22" i="7"/>
  <c r="I22" i="6"/>
  <c r="I39" i="7"/>
  <c r="J39" i="6"/>
  <c r="J38" i="4"/>
  <c r="K39" i="5"/>
  <c r="L39" i="4"/>
  <c r="H43" i="5"/>
  <c r="I45" i="5"/>
  <c r="J15" i="6"/>
  <c r="I15" i="7"/>
  <c r="H20" i="7"/>
  <c r="I20" i="6"/>
  <c r="H29" i="7"/>
  <c r="I29" i="6"/>
  <c r="I34" i="5"/>
  <c r="H39" i="5"/>
  <c r="I43" i="5"/>
  <c r="J45" i="4"/>
  <c r="H38" i="5"/>
  <c r="H26" i="7"/>
  <c r="I26" i="6"/>
  <c r="H34" i="7"/>
  <c r="H42" i="5"/>
  <c r="I9" i="7"/>
  <c r="H31" i="7"/>
  <c r="I31" i="6"/>
  <c r="H32" i="7"/>
  <c r="I32" i="6"/>
  <c r="I34" i="7"/>
  <c r="I4" i="7"/>
  <c r="J9" i="7"/>
  <c r="H11" i="7"/>
  <c r="I11" i="6"/>
  <c r="H14" i="7"/>
  <c r="I14" i="6"/>
  <c r="H16" i="7"/>
  <c r="I17" i="7"/>
  <c r="H21" i="7"/>
  <c r="H23" i="7"/>
  <c r="H25" i="7"/>
  <c r="H30" i="7"/>
  <c r="I42" i="7"/>
  <c r="I43" i="7"/>
  <c r="I3" i="6"/>
  <c r="H3" i="7"/>
  <c r="J4" i="6"/>
  <c r="H7" i="7"/>
  <c r="I7" i="6"/>
  <c r="K9" i="6"/>
  <c r="H15" i="7"/>
  <c r="I16" i="7"/>
  <c r="J17" i="6"/>
  <c r="I21" i="6"/>
  <c r="I23" i="6"/>
  <c r="I25" i="6"/>
  <c r="I30" i="6"/>
  <c r="J42" i="6"/>
  <c r="J43" i="6"/>
  <c r="I45" i="7"/>
  <c r="H8" i="8"/>
  <c r="I8" i="9"/>
  <c r="I9" i="9"/>
  <c r="H9" i="8"/>
  <c r="J23" i="9"/>
  <c r="I23" i="8"/>
  <c r="H26" i="8"/>
  <c r="K33" i="9"/>
  <c r="J33" i="8"/>
  <c r="H38" i="8"/>
  <c r="H44" i="7"/>
  <c r="J45" i="6"/>
  <c r="I3" i="9"/>
  <c r="H3" i="8"/>
  <c r="H4" i="9"/>
  <c r="G4" i="8"/>
  <c r="I5" i="8"/>
  <c r="J6" i="8"/>
  <c r="H14" i="9"/>
  <c r="G14" i="8"/>
  <c r="J21" i="9"/>
  <c r="I21" i="8"/>
  <c r="H24" i="8"/>
  <c r="J31" i="9"/>
  <c r="I31" i="8"/>
  <c r="J34" i="9"/>
  <c r="I34" i="8"/>
  <c r="H38" i="7"/>
  <c r="I44" i="6"/>
  <c r="H9" i="7"/>
  <c r="G2" i="8"/>
  <c r="H2" i="9"/>
  <c r="K6" i="9"/>
  <c r="K10" i="9"/>
  <c r="J10" i="8"/>
  <c r="J15" i="8"/>
  <c r="K15" i="9"/>
  <c r="H16" i="8"/>
  <c r="H22" i="8"/>
  <c r="J29" i="9"/>
  <c r="I29" i="8"/>
  <c r="J32" i="9"/>
  <c r="I32" i="8"/>
  <c r="J39" i="9"/>
  <c r="I39" i="8"/>
  <c r="J44" i="9"/>
  <c r="I44" i="8"/>
  <c r="I10" i="6"/>
  <c r="H17" i="7"/>
  <c r="I33" i="7"/>
  <c r="I35" i="7"/>
  <c r="H39" i="7"/>
  <c r="H42" i="7"/>
  <c r="H43" i="7"/>
  <c r="H45" i="7"/>
  <c r="G9" i="8"/>
  <c r="L7" i="9"/>
  <c r="K7" i="8"/>
  <c r="J11" i="9"/>
  <c r="I11" i="8"/>
  <c r="J17" i="9"/>
  <c r="I17" i="8"/>
  <c r="H20" i="8"/>
  <c r="J25" i="9"/>
  <c r="I25" i="8"/>
  <c r="J30" i="9"/>
  <c r="I30" i="8"/>
  <c r="J35" i="9"/>
  <c r="I35" i="8"/>
  <c r="G42" i="8"/>
  <c r="I45" i="9"/>
  <c r="H45" i="8"/>
  <c r="H43" i="8"/>
  <c r="J5" i="9"/>
  <c r="I16" i="9"/>
  <c r="I20" i="9"/>
  <c r="I22" i="9"/>
  <c r="I24" i="9"/>
  <c r="I26" i="9"/>
  <c r="I38" i="9"/>
  <c r="H42" i="9"/>
  <c r="I43" i="9"/>
  <c r="G6" i="8"/>
  <c r="H29" i="8"/>
  <c r="H31" i="8"/>
  <c r="H33" i="8"/>
  <c r="H35" i="8"/>
  <c r="H39" i="8"/>
  <c r="AB2" i="11"/>
  <c r="AB5" i="11"/>
  <c r="AD6" i="11"/>
  <c r="AB7" i="11"/>
  <c r="AD8" i="11"/>
  <c r="AB9" i="11"/>
  <c r="AD10" i="11"/>
  <c r="AA11" i="11"/>
  <c r="AH14" i="1" s="1"/>
  <c r="AE11" i="11"/>
  <c r="AB14" i="11"/>
  <c r="AD15" i="11"/>
  <c r="AE16" i="11"/>
  <c r="AC17" i="11"/>
  <c r="AC21" i="11"/>
  <c r="AC23" i="11"/>
  <c r="AC25" i="11"/>
  <c r="AC29" i="11"/>
  <c r="AD31" i="11"/>
  <c r="AC32" i="11"/>
  <c r="AB33" i="11"/>
  <c r="AC35" i="11"/>
  <c r="AD39" i="11"/>
  <c r="AB42" i="11"/>
  <c r="AD43" i="11"/>
  <c r="AD45" i="11"/>
  <c r="I2" i="12"/>
  <c r="AB2" i="12" s="1"/>
  <c r="G3" i="12"/>
  <c r="AA3" i="12" s="1"/>
  <c r="I4" i="12"/>
  <c r="AB4" i="12" s="1"/>
  <c r="Z3" i="11"/>
  <c r="AD3" i="11"/>
  <c r="AB4" i="11"/>
  <c r="AC5" i="11"/>
  <c r="AE6" i="11"/>
  <c r="AC7" i="11"/>
  <c r="AE8" i="11"/>
  <c r="AC9" i="11"/>
  <c r="AE10" i="11"/>
  <c r="AB11" i="11"/>
  <c r="AC14" i="11"/>
  <c r="AE15" i="11"/>
  <c r="AB16" i="11"/>
  <c r="AD17" i="11"/>
  <c r="AB20" i="11"/>
  <c r="AD21" i="11"/>
  <c r="AB22" i="11"/>
  <c r="AD23" i="11"/>
  <c r="AB24" i="11"/>
  <c r="AD25" i="11"/>
  <c r="AB26" i="11"/>
  <c r="AD29" i="11"/>
  <c r="AB30" i="11"/>
  <c r="AE31" i="11"/>
  <c r="AD32" i="11"/>
  <c r="AC33" i="11"/>
  <c r="AB34" i="11"/>
  <c r="AD35" i="11"/>
  <c r="AB38" i="11"/>
  <c r="AE39" i="11"/>
  <c r="AC42" i="11"/>
  <c r="AE43" i="11"/>
  <c r="AC44" i="11"/>
  <c r="AE45" i="11"/>
  <c r="R2" i="12"/>
  <c r="AD2" i="12" s="1"/>
  <c r="L5" i="12"/>
  <c r="AC5" i="12" s="1"/>
  <c r="L7" i="12"/>
  <c r="AC7" i="12" s="1"/>
  <c r="AD2" i="11"/>
  <c r="AE3" i="11"/>
  <c r="AB6" i="11"/>
  <c r="AB8" i="11"/>
  <c r="AD9" i="11"/>
  <c r="AB10" i="11"/>
  <c r="AC11" i="11"/>
  <c r="AD14" i="11"/>
  <c r="AB15" i="11"/>
  <c r="AC16" i="11"/>
  <c r="AE17" i="11"/>
  <c r="AC20" i="11"/>
  <c r="AE21" i="11"/>
  <c r="AC22" i="11"/>
  <c r="AE23" i="11"/>
  <c r="AC24" i="11"/>
  <c r="AE25" i="11"/>
  <c r="AC26" i="11"/>
  <c r="AE29" i="11"/>
  <c r="AC30" i="11"/>
  <c r="AB31" i="11"/>
  <c r="AE32" i="11"/>
  <c r="AD33" i="11"/>
  <c r="AC34" i="11"/>
  <c r="AE35" i="11"/>
  <c r="AC38" i="11"/>
  <c r="AB39" i="11"/>
  <c r="AD42" i="11"/>
  <c r="AB43" i="11"/>
  <c r="AD44" i="11"/>
  <c r="AB45" i="11"/>
  <c r="I8" i="12"/>
  <c r="AB8" i="12" s="1"/>
  <c r="AD4" i="11"/>
  <c r="AE5" i="11"/>
  <c r="AE7" i="11"/>
  <c r="AE9" i="11"/>
  <c r="AC10" i="11"/>
  <c r="AD11" i="11"/>
  <c r="AE14" i="11"/>
  <c r="AC15" i="11"/>
  <c r="AD16" i="11"/>
  <c r="AB17" i="11"/>
  <c r="AD20" i="11"/>
  <c r="AB21" i="11"/>
  <c r="AD22" i="11"/>
  <c r="AB23" i="11"/>
  <c r="AD24" i="11"/>
  <c r="AB25" i="11"/>
  <c r="AD26" i="11"/>
  <c r="AB29" i="11"/>
  <c r="AD30" i="11"/>
  <c r="AC31" i="11"/>
  <c r="AB32" i="11"/>
  <c r="AD34" i="11"/>
  <c r="AB35" i="11"/>
  <c r="AD38" i="11"/>
  <c r="AC39" i="11"/>
  <c r="AE42" i="11"/>
  <c r="AC43" i="11"/>
  <c r="AE44" i="11"/>
  <c r="AC45" i="11"/>
  <c r="K2" i="5" l="1"/>
  <c r="L2" i="4"/>
  <c r="J26" i="9"/>
  <c r="I26" i="8"/>
  <c r="J23" i="6"/>
  <c r="I23" i="7"/>
  <c r="I29" i="7"/>
  <c r="J29" i="6"/>
  <c r="J44" i="5"/>
  <c r="K44" i="4"/>
  <c r="I9" i="5"/>
  <c r="J9" i="4"/>
  <c r="J22" i="5"/>
  <c r="K22" i="4"/>
  <c r="K15" i="5"/>
  <c r="L15" i="4"/>
  <c r="J24" i="9"/>
  <c r="I24" i="8"/>
  <c r="K44" i="9"/>
  <c r="J44" i="8"/>
  <c r="K32" i="9"/>
  <c r="J32" i="8"/>
  <c r="L10" i="9"/>
  <c r="K10" i="8"/>
  <c r="K34" i="9"/>
  <c r="J34" i="8"/>
  <c r="J8" i="9"/>
  <c r="I8" i="8"/>
  <c r="J42" i="7"/>
  <c r="K42" i="6"/>
  <c r="J21" i="6"/>
  <c r="I21" i="7"/>
  <c r="K9" i="7"/>
  <c r="L9" i="6"/>
  <c r="J11" i="6"/>
  <c r="I11" i="7"/>
  <c r="I26" i="7"/>
  <c r="J26" i="6"/>
  <c r="K15" i="6"/>
  <c r="J15" i="7"/>
  <c r="I22" i="7"/>
  <c r="J22" i="6"/>
  <c r="I24" i="7"/>
  <c r="J24" i="6"/>
  <c r="I25" i="5"/>
  <c r="J25" i="4"/>
  <c r="I17" i="5"/>
  <c r="J17" i="4"/>
  <c r="I24" i="5"/>
  <c r="J24" i="4"/>
  <c r="J14" i="5"/>
  <c r="K14" i="4"/>
  <c r="K14" i="5" s="1"/>
  <c r="K8" i="5"/>
  <c r="L8" i="4"/>
  <c r="AU29" i="3"/>
  <c r="AU17" i="3"/>
  <c r="I5" i="7"/>
  <c r="J5" i="6"/>
  <c r="I30" i="5"/>
  <c r="J30" i="4"/>
  <c r="K43" i="4"/>
  <c r="J43" i="5"/>
  <c r="J38" i="7"/>
  <c r="K38" i="6"/>
  <c r="J16" i="9"/>
  <c r="I16" i="8"/>
  <c r="K11" i="9"/>
  <c r="J11" i="8"/>
  <c r="I4" i="9"/>
  <c r="H4" i="8"/>
  <c r="J9" i="9"/>
  <c r="I9" i="8"/>
  <c r="J31" i="6"/>
  <c r="I31" i="7"/>
  <c r="I35" i="5"/>
  <c r="J35" i="4"/>
  <c r="I4" i="5"/>
  <c r="J4" i="4"/>
  <c r="J32" i="4"/>
  <c r="I32" i="5"/>
  <c r="J3" i="5"/>
  <c r="K3" i="4"/>
  <c r="K42" i="4"/>
  <c r="J42" i="5"/>
  <c r="K5" i="9"/>
  <c r="J5" i="8"/>
  <c r="I42" i="9"/>
  <c r="H42" i="8"/>
  <c r="M7" i="9"/>
  <c r="L7" i="8"/>
  <c r="L6" i="9"/>
  <c r="K6" i="8"/>
  <c r="K21" i="9"/>
  <c r="J21" i="8"/>
  <c r="I7" i="7"/>
  <c r="J7" i="6"/>
  <c r="I2" i="7"/>
  <c r="J2" i="6"/>
  <c r="I33" i="5"/>
  <c r="J33" i="4"/>
  <c r="I6" i="7"/>
  <c r="J6" i="6"/>
  <c r="J11" i="5"/>
  <c r="K11" i="4"/>
  <c r="J7" i="5"/>
  <c r="K7" i="4"/>
  <c r="AU45" i="3"/>
  <c r="AU39" i="3"/>
  <c r="AU6" i="3"/>
  <c r="K33" i="7"/>
  <c r="L33" i="6"/>
  <c r="AU14" i="3"/>
  <c r="J20" i="5"/>
  <c r="K20" i="4"/>
  <c r="I6" i="5"/>
  <c r="J6" i="4"/>
  <c r="I5" i="5"/>
  <c r="J5" i="4"/>
  <c r="K16" i="7"/>
  <c r="L16" i="6"/>
  <c r="J45" i="9"/>
  <c r="I45" i="8"/>
  <c r="I14" i="9"/>
  <c r="H14" i="8"/>
  <c r="J43" i="7"/>
  <c r="K43" i="6"/>
  <c r="J4" i="7"/>
  <c r="K4" i="6"/>
  <c r="J45" i="5"/>
  <c r="K45" i="4"/>
  <c r="L39" i="5"/>
  <c r="M39" i="4"/>
  <c r="I8" i="7"/>
  <c r="J8" i="6"/>
  <c r="J26" i="4"/>
  <c r="I26" i="5"/>
  <c r="I16" i="5"/>
  <c r="J16" i="4"/>
  <c r="K34" i="7"/>
  <c r="L34" i="6"/>
  <c r="J23" i="5"/>
  <c r="K23" i="4"/>
  <c r="K35" i="7"/>
  <c r="L35" i="6"/>
  <c r="I43" i="8"/>
  <c r="J43" i="9"/>
  <c r="K30" i="9"/>
  <c r="J30" i="8"/>
  <c r="J22" i="9"/>
  <c r="I22" i="8"/>
  <c r="K17" i="9"/>
  <c r="J17" i="8"/>
  <c r="L15" i="9"/>
  <c r="K15" i="8"/>
  <c r="I44" i="7"/>
  <c r="J44" i="6"/>
  <c r="J3" i="9"/>
  <c r="I3" i="8"/>
  <c r="K23" i="9"/>
  <c r="J23" i="8"/>
  <c r="I30" i="7"/>
  <c r="J30" i="6"/>
  <c r="K17" i="6"/>
  <c r="J17" i="7"/>
  <c r="J3" i="6"/>
  <c r="I3" i="7"/>
  <c r="I32" i="7"/>
  <c r="J32" i="6"/>
  <c r="I20" i="7"/>
  <c r="J20" i="6"/>
  <c r="J38" i="5"/>
  <c r="K38" i="4"/>
  <c r="L34" i="4"/>
  <c r="K34" i="5"/>
  <c r="J38" i="9"/>
  <c r="I38" i="8"/>
  <c r="J20" i="9"/>
  <c r="I20" i="8"/>
  <c r="K35" i="9"/>
  <c r="J35" i="8"/>
  <c r="K25" i="9"/>
  <c r="J25" i="8"/>
  <c r="I10" i="7"/>
  <c r="J10" i="6"/>
  <c r="K39" i="9"/>
  <c r="J39" i="8"/>
  <c r="K29" i="9"/>
  <c r="J29" i="8"/>
  <c r="I2" i="9"/>
  <c r="H2" i="8"/>
  <c r="K31" i="9"/>
  <c r="J31" i="8"/>
  <c r="J45" i="7"/>
  <c r="K45" i="6"/>
  <c r="K33" i="8"/>
  <c r="L33" i="9"/>
  <c r="I25" i="7"/>
  <c r="J25" i="6"/>
  <c r="J14" i="6"/>
  <c r="I14" i="7"/>
  <c r="J39" i="7"/>
  <c r="K39" i="6"/>
  <c r="J29" i="4"/>
  <c r="I29" i="5"/>
  <c r="I21" i="5"/>
  <c r="J21" i="4"/>
  <c r="I10" i="5"/>
  <c r="J10" i="4"/>
  <c r="AU23" i="3"/>
  <c r="J31" i="5"/>
  <c r="K31" i="4"/>
  <c r="I11" i="3"/>
  <c r="L33" i="8" l="1"/>
  <c r="M33" i="9"/>
  <c r="J10" i="7"/>
  <c r="K10" i="6"/>
  <c r="K38" i="5"/>
  <c r="L38" i="4"/>
  <c r="J32" i="7"/>
  <c r="K32" i="6"/>
  <c r="J44" i="7"/>
  <c r="K44" i="6"/>
  <c r="L35" i="7"/>
  <c r="M35" i="6"/>
  <c r="L34" i="7"/>
  <c r="M34" i="6"/>
  <c r="M39" i="5"/>
  <c r="N39" i="4"/>
  <c r="H39" i="3"/>
  <c r="K4" i="7"/>
  <c r="L4" i="6"/>
  <c r="M16" i="6"/>
  <c r="M16" i="7" s="1"/>
  <c r="L16" i="7"/>
  <c r="J6" i="5"/>
  <c r="K6" i="4"/>
  <c r="K11" i="5"/>
  <c r="L11" i="4"/>
  <c r="J33" i="5"/>
  <c r="K33" i="4"/>
  <c r="J7" i="7"/>
  <c r="K7" i="6"/>
  <c r="J35" i="5"/>
  <c r="K35" i="4"/>
  <c r="K38" i="7"/>
  <c r="L38" i="6"/>
  <c r="K30" i="4"/>
  <c r="J30" i="5"/>
  <c r="J17" i="5"/>
  <c r="K17" i="4"/>
  <c r="K24" i="6"/>
  <c r="J24" i="7"/>
  <c r="L15" i="5"/>
  <c r="M15" i="4"/>
  <c r="J9" i="5"/>
  <c r="K9" i="4"/>
  <c r="K29" i="6"/>
  <c r="J29" i="7"/>
  <c r="K38" i="9"/>
  <c r="J38" i="8"/>
  <c r="L17" i="6"/>
  <c r="K17" i="7"/>
  <c r="L23" i="9"/>
  <c r="K23" i="8"/>
  <c r="L17" i="9"/>
  <c r="L17" i="8" s="1"/>
  <c r="K17" i="8"/>
  <c r="L30" i="9"/>
  <c r="K30" i="8"/>
  <c r="J26" i="5"/>
  <c r="K26" i="4"/>
  <c r="J14" i="9"/>
  <c r="I14" i="8"/>
  <c r="M33" i="6"/>
  <c r="L33" i="7"/>
  <c r="M6" i="9"/>
  <c r="L6" i="8"/>
  <c r="J42" i="9"/>
  <c r="I42" i="8"/>
  <c r="K42" i="5"/>
  <c r="L42" i="4"/>
  <c r="J32" i="5"/>
  <c r="K32" i="4"/>
  <c r="J9" i="8"/>
  <c r="K9" i="9"/>
  <c r="K11" i="8"/>
  <c r="L11" i="9"/>
  <c r="K15" i="7"/>
  <c r="L15" i="6"/>
  <c r="J11" i="7"/>
  <c r="K11" i="6"/>
  <c r="K21" i="6"/>
  <c r="J21" i="7"/>
  <c r="K8" i="9"/>
  <c r="J8" i="8"/>
  <c r="L10" i="8"/>
  <c r="M10" i="9"/>
  <c r="K44" i="8"/>
  <c r="L44" i="9"/>
  <c r="K26" i="9"/>
  <c r="J26" i="8"/>
  <c r="J29" i="5"/>
  <c r="K29" i="4"/>
  <c r="K31" i="8"/>
  <c r="L31" i="9"/>
  <c r="K35" i="8"/>
  <c r="L35" i="9"/>
  <c r="K39" i="7"/>
  <c r="L39" i="6"/>
  <c r="J25" i="7"/>
  <c r="K25" i="6"/>
  <c r="K45" i="7"/>
  <c r="L45" i="6"/>
  <c r="K20" i="6"/>
  <c r="J20" i="7"/>
  <c r="J30" i="7"/>
  <c r="K30" i="6"/>
  <c r="K43" i="9"/>
  <c r="J43" i="8"/>
  <c r="K23" i="5"/>
  <c r="L23" i="4"/>
  <c r="J16" i="5"/>
  <c r="K16" i="4"/>
  <c r="J8" i="7"/>
  <c r="K8" i="6"/>
  <c r="K45" i="5"/>
  <c r="L45" i="4"/>
  <c r="L43" i="6"/>
  <c r="K43" i="7"/>
  <c r="J5" i="5"/>
  <c r="K5" i="4"/>
  <c r="K20" i="5"/>
  <c r="L20" i="4"/>
  <c r="K7" i="5"/>
  <c r="L7" i="4"/>
  <c r="K6" i="6"/>
  <c r="J6" i="7"/>
  <c r="J2" i="7"/>
  <c r="K2" i="6"/>
  <c r="K3" i="5"/>
  <c r="L3" i="4"/>
  <c r="J4" i="5"/>
  <c r="K4" i="4"/>
  <c r="K5" i="6"/>
  <c r="J5" i="7"/>
  <c r="L8" i="5"/>
  <c r="M8" i="4"/>
  <c r="J24" i="5"/>
  <c r="K24" i="4"/>
  <c r="J25" i="5"/>
  <c r="K25" i="4"/>
  <c r="J22" i="7"/>
  <c r="K22" i="6"/>
  <c r="K26" i="6"/>
  <c r="J26" i="7"/>
  <c r="M9" i="6"/>
  <c r="L9" i="7"/>
  <c r="K42" i="7"/>
  <c r="L42" i="6"/>
  <c r="K22" i="5"/>
  <c r="L22" i="4"/>
  <c r="L44" i="4"/>
  <c r="K44" i="5"/>
  <c r="L2" i="5"/>
  <c r="M2" i="4"/>
  <c r="J10" i="5"/>
  <c r="K10" i="4"/>
  <c r="L31" i="4"/>
  <c r="K31" i="5"/>
  <c r="J14" i="7"/>
  <c r="K14" i="6"/>
  <c r="K14" i="7" s="1"/>
  <c r="K29" i="8"/>
  <c r="L29" i="9"/>
  <c r="J21" i="5"/>
  <c r="K21" i="4"/>
  <c r="J2" i="9"/>
  <c r="I2" i="8"/>
  <c r="K39" i="8"/>
  <c r="L39" i="9"/>
  <c r="L25" i="9"/>
  <c r="K25" i="8"/>
  <c r="K20" i="9"/>
  <c r="J20" i="8"/>
  <c r="L34" i="5"/>
  <c r="M34" i="4"/>
  <c r="J3" i="7"/>
  <c r="K3" i="6"/>
  <c r="J3" i="8"/>
  <c r="K3" i="9"/>
  <c r="M15" i="9"/>
  <c r="M15" i="8" s="1"/>
  <c r="L15" i="8"/>
  <c r="K22" i="9"/>
  <c r="J22" i="8"/>
  <c r="K45" i="9"/>
  <c r="J45" i="8"/>
  <c r="L21" i="9"/>
  <c r="K21" i="8"/>
  <c r="M7" i="8"/>
  <c r="N7" i="9"/>
  <c r="L5" i="9"/>
  <c r="K5" i="8"/>
  <c r="J31" i="7"/>
  <c r="K31" i="6"/>
  <c r="J4" i="9"/>
  <c r="I4" i="8"/>
  <c r="K16" i="9"/>
  <c r="J16" i="8"/>
  <c r="K43" i="5"/>
  <c r="L43" i="4"/>
  <c r="L34" i="9"/>
  <c r="K34" i="8"/>
  <c r="L32" i="9"/>
  <c r="K32" i="8"/>
  <c r="K24" i="9"/>
  <c r="J24" i="8"/>
  <c r="K23" i="6"/>
  <c r="J23" i="7"/>
  <c r="M34" i="9" l="1"/>
  <c r="L34" i="8"/>
  <c r="K45" i="8"/>
  <c r="L45" i="9"/>
  <c r="L44" i="5"/>
  <c r="M44" i="4"/>
  <c r="K26" i="7"/>
  <c r="L26" i="6"/>
  <c r="L43" i="9"/>
  <c r="K43" i="8"/>
  <c r="K20" i="7"/>
  <c r="L20" i="6"/>
  <c r="L8" i="9"/>
  <c r="K8" i="8"/>
  <c r="J42" i="8"/>
  <c r="K42" i="9"/>
  <c r="M33" i="7"/>
  <c r="N33" i="6"/>
  <c r="L17" i="7"/>
  <c r="M17" i="6"/>
  <c r="K29" i="7"/>
  <c r="L29" i="6"/>
  <c r="N39" i="5"/>
  <c r="O39" i="4"/>
  <c r="M35" i="7"/>
  <c r="N35" i="6"/>
  <c r="K32" i="7"/>
  <c r="L32" i="6"/>
  <c r="L10" i="6"/>
  <c r="K10" i="7"/>
  <c r="L43" i="5"/>
  <c r="M43" i="4"/>
  <c r="L3" i="9"/>
  <c r="K3" i="8"/>
  <c r="M34" i="5"/>
  <c r="N34" i="4"/>
  <c r="H34" i="3"/>
  <c r="L29" i="8"/>
  <c r="M29" i="9"/>
  <c r="M2" i="5"/>
  <c r="G2" i="3"/>
  <c r="H2" i="3"/>
  <c r="L22" i="5"/>
  <c r="M22" i="4"/>
  <c r="K22" i="7"/>
  <c r="L22" i="6"/>
  <c r="K24" i="5"/>
  <c r="L24" i="4"/>
  <c r="L3" i="5"/>
  <c r="M3" i="4"/>
  <c r="L20" i="5"/>
  <c r="M20" i="4"/>
  <c r="K8" i="7"/>
  <c r="L8" i="6"/>
  <c r="L23" i="5"/>
  <c r="M23" i="4"/>
  <c r="K30" i="7"/>
  <c r="L30" i="6"/>
  <c r="L45" i="7"/>
  <c r="M45" i="6"/>
  <c r="L39" i="7"/>
  <c r="M39" i="6"/>
  <c r="L31" i="8"/>
  <c r="M31" i="9"/>
  <c r="M10" i="8"/>
  <c r="N10" i="9"/>
  <c r="L15" i="7"/>
  <c r="M15" i="6"/>
  <c r="L9" i="9"/>
  <c r="K9" i="8"/>
  <c r="L42" i="5"/>
  <c r="M42" i="4"/>
  <c r="K9" i="5"/>
  <c r="L9" i="4"/>
  <c r="K35" i="5"/>
  <c r="L35" i="4"/>
  <c r="K33" i="5"/>
  <c r="L33" i="4"/>
  <c r="K6" i="5"/>
  <c r="L6" i="4"/>
  <c r="L4" i="7"/>
  <c r="M4" i="6"/>
  <c r="L24" i="9"/>
  <c r="K24" i="8"/>
  <c r="K23" i="7"/>
  <c r="L23" i="6"/>
  <c r="L32" i="8"/>
  <c r="M32" i="9"/>
  <c r="K4" i="9"/>
  <c r="J4" i="8"/>
  <c r="M5" i="9"/>
  <c r="L5" i="8"/>
  <c r="M21" i="9"/>
  <c r="L21" i="8"/>
  <c r="L22" i="9"/>
  <c r="K22" i="8"/>
  <c r="M25" i="9"/>
  <c r="L25" i="8"/>
  <c r="K2" i="9"/>
  <c r="J2" i="8"/>
  <c r="L31" i="5"/>
  <c r="M31" i="4"/>
  <c r="M9" i="7"/>
  <c r="N9" i="6"/>
  <c r="K5" i="7"/>
  <c r="L5" i="6"/>
  <c r="L6" i="6"/>
  <c r="K6" i="7"/>
  <c r="L43" i="7"/>
  <c r="M43" i="6"/>
  <c r="L26" i="9"/>
  <c r="K26" i="8"/>
  <c r="K21" i="7"/>
  <c r="L21" i="6"/>
  <c r="N6" i="9"/>
  <c r="M6" i="8"/>
  <c r="K14" i="9"/>
  <c r="J14" i="8"/>
  <c r="L30" i="8"/>
  <c r="M30" i="9"/>
  <c r="M23" i="9"/>
  <c r="L23" i="8"/>
  <c r="L38" i="9"/>
  <c r="K38" i="8"/>
  <c r="K24" i="7"/>
  <c r="L24" i="6"/>
  <c r="K30" i="5"/>
  <c r="L30" i="4"/>
  <c r="M34" i="7"/>
  <c r="N34" i="6"/>
  <c r="K44" i="7"/>
  <c r="L44" i="6"/>
  <c r="M38" i="4"/>
  <c r="L38" i="5"/>
  <c r="N33" i="9"/>
  <c r="M33" i="8"/>
  <c r="L16" i="9"/>
  <c r="L16" i="8" s="1"/>
  <c r="K16" i="8"/>
  <c r="L20" i="9"/>
  <c r="K20" i="8"/>
  <c r="K31" i="7"/>
  <c r="L31" i="6"/>
  <c r="O7" i="9"/>
  <c r="N7" i="8"/>
  <c r="K3" i="7"/>
  <c r="L3" i="6"/>
  <c r="L39" i="8"/>
  <c r="M39" i="9"/>
  <c r="K21" i="5"/>
  <c r="L21" i="4"/>
  <c r="K10" i="5"/>
  <c r="L10" i="4"/>
  <c r="L42" i="7"/>
  <c r="M42" i="6"/>
  <c r="K25" i="5"/>
  <c r="L25" i="4"/>
  <c r="M8" i="5"/>
  <c r="N8" i="4"/>
  <c r="H8" i="3"/>
  <c r="K4" i="5"/>
  <c r="L4" i="4"/>
  <c r="K2" i="7"/>
  <c r="L2" i="6"/>
  <c r="L7" i="5"/>
  <c r="M7" i="4"/>
  <c r="K5" i="5"/>
  <c r="L5" i="4"/>
  <c r="L45" i="5"/>
  <c r="M45" i="4"/>
  <c r="K16" i="5"/>
  <c r="L16" i="4"/>
  <c r="K25" i="7"/>
  <c r="L25" i="6"/>
  <c r="L35" i="8"/>
  <c r="M35" i="9"/>
  <c r="K29" i="5"/>
  <c r="L29" i="4"/>
  <c r="M44" i="9"/>
  <c r="L44" i="8"/>
  <c r="K11" i="7"/>
  <c r="L11" i="6"/>
  <c r="M11" i="9"/>
  <c r="L11" i="8"/>
  <c r="K32" i="5"/>
  <c r="L32" i="4"/>
  <c r="K26" i="5"/>
  <c r="L26" i="4"/>
  <c r="M15" i="5"/>
  <c r="N15" i="4"/>
  <c r="N15" i="5" s="1"/>
  <c r="H15" i="3"/>
  <c r="K17" i="5"/>
  <c r="L17" i="4"/>
  <c r="L38" i="7"/>
  <c r="M38" i="6"/>
  <c r="K7" i="7"/>
  <c r="L7" i="6"/>
  <c r="L11" i="5"/>
  <c r="M11" i="4"/>
  <c r="L25" i="5" l="1"/>
  <c r="M25" i="4"/>
  <c r="L10" i="5"/>
  <c r="M10" i="4"/>
  <c r="N39" i="9"/>
  <c r="M39" i="8"/>
  <c r="L44" i="7"/>
  <c r="M44" i="6"/>
  <c r="L30" i="5"/>
  <c r="M30" i="4"/>
  <c r="N30" i="9"/>
  <c r="M30" i="8"/>
  <c r="N9" i="7"/>
  <c r="O9" i="6"/>
  <c r="N32" i="9"/>
  <c r="M32" i="8"/>
  <c r="L6" i="5"/>
  <c r="M6" i="4"/>
  <c r="L35" i="5"/>
  <c r="M35" i="4"/>
  <c r="M42" i="5"/>
  <c r="N42" i="4"/>
  <c r="N15" i="6"/>
  <c r="N15" i="7" s="1"/>
  <c r="M15" i="7"/>
  <c r="N31" i="9"/>
  <c r="M31" i="8"/>
  <c r="M45" i="7"/>
  <c r="N45" i="6"/>
  <c r="M23" i="5"/>
  <c r="N23" i="4"/>
  <c r="H23" i="3"/>
  <c r="M20" i="5"/>
  <c r="N20" i="4"/>
  <c r="H20" i="3"/>
  <c r="L24" i="5"/>
  <c r="M24" i="4"/>
  <c r="N22" i="4"/>
  <c r="M22" i="5"/>
  <c r="H22" i="3"/>
  <c r="N34" i="5"/>
  <c r="O34" i="4"/>
  <c r="M43" i="5"/>
  <c r="N43" i="4"/>
  <c r="H43" i="3"/>
  <c r="M32" i="6"/>
  <c r="L32" i="7"/>
  <c r="O39" i="5"/>
  <c r="P39" i="4"/>
  <c r="M17" i="7"/>
  <c r="F17" i="3"/>
  <c r="K42" i="8"/>
  <c r="L42" i="9"/>
  <c r="L20" i="7"/>
  <c r="M20" i="6"/>
  <c r="L26" i="7"/>
  <c r="M26" i="6"/>
  <c r="M45" i="9"/>
  <c r="L45" i="8"/>
  <c r="L7" i="7"/>
  <c r="M7" i="6"/>
  <c r="L16" i="5"/>
  <c r="M16" i="4"/>
  <c r="P7" i="9"/>
  <c r="O7" i="8"/>
  <c r="L20" i="8"/>
  <c r="M20" i="9"/>
  <c r="O33" i="9"/>
  <c r="N33" i="8"/>
  <c r="L38" i="8"/>
  <c r="M38" i="9"/>
  <c r="O6" i="9"/>
  <c r="N6" i="8"/>
  <c r="L26" i="8"/>
  <c r="M26" i="9"/>
  <c r="L6" i="7"/>
  <c r="M6" i="6"/>
  <c r="L2" i="9"/>
  <c r="L2" i="8" s="1"/>
  <c r="K2" i="8"/>
  <c r="L22" i="8"/>
  <c r="M22" i="9"/>
  <c r="M5" i="8"/>
  <c r="N5" i="9"/>
  <c r="L24" i="8"/>
  <c r="M24" i="9"/>
  <c r="N29" i="9"/>
  <c r="M29" i="8"/>
  <c r="L17" i="5"/>
  <c r="M17" i="4"/>
  <c r="L5" i="5"/>
  <c r="M5" i="4"/>
  <c r="M11" i="5"/>
  <c r="N11" i="4"/>
  <c r="H11" i="3"/>
  <c r="M38" i="7"/>
  <c r="N38" i="6"/>
  <c r="N11" i="9"/>
  <c r="M11" i="8"/>
  <c r="N44" i="9"/>
  <c r="M44" i="8"/>
  <c r="N8" i="5"/>
  <c r="O8" i="4"/>
  <c r="M42" i="7"/>
  <c r="N42" i="6"/>
  <c r="L21" i="5"/>
  <c r="M21" i="4"/>
  <c r="M3" i="6"/>
  <c r="L3" i="7"/>
  <c r="L31" i="7"/>
  <c r="M31" i="6"/>
  <c r="O34" i="6"/>
  <c r="N34" i="7"/>
  <c r="L24" i="7"/>
  <c r="M24" i="6"/>
  <c r="L21" i="7"/>
  <c r="M21" i="6"/>
  <c r="M43" i="7"/>
  <c r="N43" i="6"/>
  <c r="L5" i="7"/>
  <c r="M5" i="6"/>
  <c r="M31" i="5"/>
  <c r="N31" i="4"/>
  <c r="H31" i="3"/>
  <c r="L23" i="7"/>
  <c r="M23" i="6"/>
  <c r="M4" i="7"/>
  <c r="N4" i="6"/>
  <c r="F3" i="3"/>
  <c r="L33" i="5"/>
  <c r="M33" i="4"/>
  <c r="L9" i="5"/>
  <c r="M9" i="4"/>
  <c r="O10" i="9"/>
  <c r="N10" i="8"/>
  <c r="M39" i="7"/>
  <c r="N39" i="6"/>
  <c r="L30" i="7"/>
  <c r="M30" i="6"/>
  <c r="L8" i="7"/>
  <c r="M8" i="6"/>
  <c r="M3" i="5"/>
  <c r="N3" i="4"/>
  <c r="N3" i="5" s="1"/>
  <c r="H3" i="3"/>
  <c r="L22" i="7"/>
  <c r="M22" i="6"/>
  <c r="N35" i="7"/>
  <c r="O35" i="6"/>
  <c r="L29" i="7"/>
  <c r="M29" i="6"/>
  <c r="N33" i="7"/>
  <c r="O33" i="6"/>
  <c r="M44" i="5"/>
  <c r="N44" i="4"/>
  <c r="H44" i="3"/>
  <c r="L26" i="5"/>
  <c r="M26" i="4"/>
  <c r="N35" i="9"/>
  <c r="M35" i="8"/>
  <c r="L2" i="7"/>
  <c r="M2" i="6"/>
  <c r="L32" i="5"/>
  <c r="M32" i="4"/>
  <c r="L11" i="7"/>
  <c r="M11" i="6"/>
  <c r="L29" i="5"/>
  <c r="M29" i="4"/>
  <c r="L25" i="7"/>
  <c r="M25" i="6"/>
  <c r="M45" i="5"/>
  <c r="N45" i="4"/>
  <c r="M7" i="5"/>
  <c r="N7" i="4"/>
  <c r="H7" i="3"/>
  <c r="L4" i="5"/>
  <c r="M4" i="4"/>
  <c r="M38" i="5"/>
  <c r="N38" i="4"/>
  <c r="H38" i="3"/>
  <c r="N23" i="9"/>
  <c r="M23" i="8"/>
  <c r="L14" i="9"/>
  <c r="L14" i="8" s="1"/>
  <c r="K14" i="8"/>
  <c r="N25" i="9"/>
  <c r="M25" i="8"/>
  <c r="N21" i="9"/>
  <c r="M21" i="8"/>
  <c r="L4" i="9"/>
  <c r="K4" i="8"/>
  <c r="M9" i="9"/>
  <c r="L9" i="8"/>
  <c r="M3" i="9"/>
  <c r="M3" i="8" s="1"/>
  <c r="L3" i="8"/>
  <c r="M10" i="6"/>
  <c r="L10" i="7"/>
  <c r="M8" i="9"/>
  <c r="L8" i="8"/>
  <c r="L43" i="8"/>
  <c r="M43" i="9"/>
  <c r="N34" i="9"/>
  <c r="M34" i="8"/>
  <c r="M10" i="7" l="1"/>
  <c r="N10" i="6"/>
  <c r="N9" i="9"/>
  <c r="M9" i="8"/>
  <c r="O21" i="9"/>
  <c r="N21" i="8"/>
  <c r="N38" i="5"/>
  <c r="O38" i="4"/>
  <c r="O35" i="9"/>
  <c r="N35" i="8"/>
  <c r="N44" i="5"/>
  <c r="O44" i="4"/>
  <c r="M29" i="7"/>
  <c r="N29" i="6"/>
  <c r="M22" i="7"/>
  <c r="N22" i="6"/>
  <c r="P10" i="9"/>
  <c r="O10" i="8"/>
  <c r="N23" i="6"/>
  <c r="M23" i="7"/>
  <c r="O11" i="9"/>
  <c r="N11" i="8"/>
  <c r="N11" i="5"/>
  <c r="O11" i="4"/>
  <c r="M17" i="5"/>
  <c r="G17" i="3"/>
  <c r="I17" i="3" s="1"/>
  <c r="H17" i="3"/>
  <c r="N24" i="9"/>
  <c r="M24" i="8"/>
  <c r="N22" i="9"/>
  <c r="M22" i="8"/>
  <c r="M6" i="7"/>
  <c r="N6" i="6"/>
  <c r="M7" i="7"/>
  <c r="N7" i="6"/>
  <c r="M26" i="7"/>
  <c r="N26" i="6"/>
  <c r="M42" i="9"/>
  <c r="L42" i="8"/>
  <c r="P39" i="5"/>
  <c r="Q39" i="4"/>
  <c r="M24" i="5"/>
  <c r="N24" i="4"/>
  <c r="H24" i="3"/>
  <c r="N45" i="7"/>
  <c r="O45" i="6"/>
  <c r="M35" i="5"/>
  <c r="N35" i="4"/>
  <c r="H35" i="3"/>
  <c r="M44" i="7"/>
  <c r="N44" i="6"/>
  <c r="M10" i="5"/>
  <c r="N10" i="4"/>
  <c r="H10" i="3"/>
  <c r="N7" i="5"/>
  <c r="O7" i="4"/>
  <c r="N25" i="6"/>
  <c r="M25" i="7"/>
  <c r="M11" i="7"/>
  <c r="N11" i="6"/>
  <c r="M2" i="7"/>
  <c r="F2" i="3"/>
  <c r="I2" i="3" s="1"/>
  <c r="M26" i="5"/>
  <c r="N26" i="4"/>
  <c r="H26" i="3"/>
  <c r="N8" i="6"/>
  <c r="M8" i="7"/>
  <c r="N39" i="7"/>
  <c r="O39" i="6"/>
  <c r="M9" i="5"/>
  <c r="N9" i="4"/>
  <c r="H9" i="3"/>
  <c r="M5" i="7"/>
  <c r="N5" i="6"/>
  <c r="M21" i="7"/>
  <c r="N21" i="6"/>
  <c r="N42" i="7"/>
  <c r="O42" i="6"/>
  <c r="N38" i="7"/>
  <c r="O38" i="6"/>
  <c r="P6" i="9"/>
  <c r="O6" i="8"/>
  <c r="O33" i="8"/>
  <c r="P33" i="9"/>
  <c r="Q7" i="9"/>
  <c r="P7" i="8"/>
  <c r="N43" i="5"/>
  <c r="O43" i="4"/>
  <c r="O32" i="9"/>
  <c r="N32" i="8"/>
  <c r="O30" i="9"/>
  <c r="N30" i="8"/>
  <c r="O25" i="9"/>
  <c r="N25" i="8"/>
  <c r="M4" i="5"/>
  <c r="N4" i="4"/>
  <c r="H4" i="3"/>
  <c r="G3" i="3"/>
  <c r="I3" i="3" s="1"/>
  <c r="O33" i="7"/>
  <c r="P33" i="6"/>
  <c r="P35" i="6"/>
  <c r="O35" i="7"/>
  <c r="N4" i="7"/>
  <c r="O4" i="6"/>
  <c r="O34" i="7"/>
  <c r="P34" i="6"/>
  <c r="N3" i="6"/>
  <c r="N3" i="7" s="1"/>
  <c r="M3" i="7"/>
  <c r="O44" i="9"/>
  <c r="N44" i="8"/>
  <c r="M5" i="5"/>
  <c r="N5" i="4"/>
  <c r="H5" i="3"/>
  <c r="O5" i="9"/>
  <c r="N5" i="8"/>
  <c r="N26" i="9"/>
  <c r="M26" i="8"/>
  <c r="N38" i="9"/>
  <c r="M38" i="8"/>
  <c r="N20" i="9"/>
  <c r="M20" i="8"/>
  <c r="M16" i="5"/>
  <c r="H16" i="3"/>
  <c r="M20" i="7"/>
  <c r="N20" i="6"/>
  <c r="N23" i="5"/>
  <c r="O23" i="4"/>
  <c r="N42" i="5"/>
  <c r="O42" i="4"/>
  <c r="M6" i="5"/>
  <c r="N6" i="4"/>
  <c r="H6" i="3"/>
  <c r="O9" i="7"/>
  <c r="P9" i="6"/>
  <c r="M30" i="5"/>
  <c r="N30" i="4"/>
  <c r="H30" i="3"/>
  <c r="M25" i="5"/>
  <c r="N25" i="4"/>
  <c r="H25" i="3"/>
  <c r="O34" i="9"/>
  <c r="N34" i="8"/>
  <c r="N8" i="9"/>
  <c r="M8" i="8"/>
  <c r="M4" i="9"/>
  <c r="L4" i="8"/>
  <c r="O23" i="9"/>
  <c r="N23" i="8"/>
  <c r="M43" i="8"/>
  <c r="N43" i="9"/>
  <c r="N45" i="5"/>
  <c r="O45" i="4"/>
  <c r="M29" i="5"/>
  <c r="N29" i="4"/>
  <c r="H29" i="3"/>
  <c r="N32" i="4"/>
  <c r="M32" i="5"/>
  <c r="H32" i="3"/>
  <c r="N30" i="6"/>
  <c r="M30" i="7"/>
  <c r="M33" i="5"/>
  <c r="N33" i="4"/>
  <c r="H33" i="3"/>
  <c r="N31" i="5"/>
  <c r="O31" i="4"/>
  <c r="N43" i="7"/>
  <c r="O43" i="6"/>
  <c r="M24" i="7"/>
  <c r="N24" i="6"/>
  <c r="M31" i="7"/>
  <c r="N31" i="6"/>
  <c r="M21" i="5"/>
  <c r="N21" i="4"/>
  <c r="H21" i="3"/>
  <c r="O8" i="5"/>
  <c r="P8" i="4"/>
  <c r="O29" i="9"/>
  <c r="N29" i="8"/>
  <c r="N45" i="9"/>
  <c r="M45" i="8"/>
  <c r="N32" i="6"/>
  <c r="M32" i="7"/>
  <c r="P34" i="4"/>
  <c r="O34" i="5"/>
  <c r="N22" i="5"/>
  <c r="O22" i="4"/>
  <c r="N20" i="5"/>
  <c r="O20" i="4"/>
  <c r="O31" i="9"/>
  <c r="N31" i="8"/>
  <c r="O39" i="9"/>
  <c r="N39" i="8"/>
  <c r="P8" i="5" l="1"/>
  <c r="Q8" i="4"/>
  <c r="O45" i="5"/>
  <c r="P45" i="4"/>
  <c r="P45" i="5" s="1"/>
  <c r="Q7" i="8"/>
  <c r="R7" i="9"/>
  <c r="R7" i="8" s="1"/>
  <c r="P45" i="6"/>
  <c r="P45" i="7" s="1"/>
  <c r="O45" i="7"/>
  <c r="P34" i="5"/>
  <c r="Q34" i="4"/>
  <c r="N25" i="5"/>
  <c r="O25" i="4"/>
  <c r="O23" i="5"/>
  <c r="P23" i="4"/>
  <c r="O26" i="9"/>
  <c r="N26" i="8"/>
  <c r="O22" i="5"/>
  <c r="P22" i="4"/>
  <c r="N33" i="5"/>
  <c r="O33" i="4"/>
  <c r="N29" i="5"/>
  <c r="O29" i="4"/>
  <c r="O43" i="9"/>
  <c r="N43" i="8"/>
  <c r="Q9" i="6"/>
  <c r="P9" i="7"/>
  <c r="O30" i="8"/>
  <c r="P30" i="9"/>
  <c r="N26" i="5"/>
  <c r="O26" i="4"/>
  <c r="N11" i="7"/>
  <c r="O11" i="6"/>
  <c r="O7" i="5"/>
  <c r="P7" i="4"/>
  <c r="N35" i="5"/>
  <c r="O35" i="4"/>
  <c r="O24" i="9"/>
  <c r="N24" i="8"/>
  <c r="O11" i="5"/>
  <c r="P11" i="4"/>
  <c r="O22" i="6"/>
  <c r="N22" i="7"/>
  <c r="O44" i="5"/>
  <c r="P44" i="4"/>
  <c r="O38" i="5"/>
  <c r="P38" i="4"/>
  <c r="O20" i="5"/>
  <c r="P20" i="4"/>
  <c r="P32" i="9"/>
  <c r="O32" i="8"/>
  <c r="O8" i="6"/>
  <c r="N8" i="7"/>
  <c r="N42" i="9"/>
  <c r="M42" i="8"/>
  <c r="O39" i="8"/>
  <c r="P39" i="9"/>
  <c r="O45" i="9"/>
  <c r="O45" i="8" s="1"/>
  <c r="N45" i="8"/>
  <c r="P43" i="6"/>
  <c r="O43" i="7"/>
  <c r="O8" i="9"/>
  <c r="N8" i="8"/>
  <c r="N6" i="5"/>
  <c r="O6" i="4"/>
  <c r="N5" i="5"/>
  <c r="O5" i="4"/>
  <c r="O31" i="8"/>
  <c r="P31" i="9"/>
  <c r="N32" i="7"/>
  <c r="O32" i="6"/>
  <c r="O29" i="8"/>
  <c r="P29" i="9"/>
  <c r="N21" i="5"/>
  <c r="O21" i="4"/>
  <c r="N24" i="7"/>
  <c r="O24" i="6"/>
  <c r="O31" i="5"/>
  <c r="P31" i="4"/>
  <c r="N4" i="9"/>
  <c r="M4" i="8"/>
  <c r="P34" i="9"/>
  <c r="O34" i="8"/>
  <c r="P42" i="4"/>
  <c r="P42" i="5" s="1"/>
  <c r="O42" i="5"/>
  <c r="O38" i="9"/>
  <c r="N38" i="8"/>
  <c r="P5" i="9"/>
  <c r="O5" i="8"/>
  <c r="P34" i="7"/>
  <c r="Q34" i="6"/>
  <c r="O42" i="7"/>
  <c r="P42" i="6"/>
  <c r="P42" i="7" s="1"/>
  <c r="O5" i="6"/>
  <c r="N5" i="7"/>
  <c r="N9" i="5"/>
  <c r="O9" i="4"/>
  <c r="N44" i="7"/>
  <c r="O44" i="6"/>
  <c r="N24" i="5"/>
  <c r="O24" i="4"/>
  <c r="N7" i="7"/>
  <c r="O7" i="6"/>
  <c r="O23" i="6"/>
  <c r="N23" i="7"/>
  <c r="N9" i="8"/>
  <c r="O9" i="9"/>
  <c r="N32" i="5"/>
  <c r="O32" i="4"/>
  <c r="O30" i="4"/>
  <c r="N30" i="5"/>
  <c r="Q35" i="6"/>
  <c r="P35" i="7"/>
  <c r="Q6" i="9"/>
  <c r="P6" i="8"/>
  <c r="O22" i="9"/>
  <c r="N22" i="8"/>
  <c r="N10" i="7"/>
  <c r="O10" i="6"/>
  <c r="O20" i="6"/>
  <c r="N20" i="7"/>
  <c r="O44" i="8"/>
  <c r="P44" i="9"/>
  <c r="P25" i="9"/>
  <c r="O25" i="8"/>
  <c r="N29" i="7"/>
  <c r="O29" i="6"/>
  <c r="N31" i="7"/>
  <c r="O31" i="6"/>
  <c r="N30" i="7"/>
  <c r="O30" i="6"/>
  <c r="P23" i="9"/>
  <c r="O23" i="8"/>
  <c r="O20" i="9"/>
  <c r="N20" i="8"/>
  <c r="O4" i="7"/>
  <c r="P4" i="6"/>
  <c r="P33" i="7"/>
  <c r="Q33" i="6"/>
  <c r="N4" i="5"/>
  <c r="O4" i="4"/>
  <c r="P43" i="4"/>
  <c r="O43" i="5"/>
  <c r="P33" i="8"/>
  <c r="Q33" i="9"/>
  <c r="O38" i="7"/>
  <c r="P38" i="6"/>
  <c r="O21" i="6"/>
  <c r="N21" i="7"/>
  <c r="P39" i="6"/>
  <c r="O39" i="7"/>
  <c r="O25" i="6"/>
  <c r="N25" i="7"/>
  <c r="N10" i="5"/>
  <c r="O10" i="4"/>
  <c r="Q39" i="5"/>
  <c r="R39" i="4"/>
  <c r="O26" i="6"/>
  <c r="N26" i="7"/>
  <c r="O6" i="6"/>
  <c r="N6" i="7"/>
  <c r="O11" i="8"/>
  <c r="P11" i="9"/>
  <c r="Q10" i="9"/>
  <c r="Q10" i="8" s="1"/>
  <c r="P10" i="8"/>
  <c r="O35" i="8"/>
  <c r="P35" i="9"/>
  <c r="P21" i="9"/>
  <c r="O21" i="8"/>
  <c r="R39" i="5" l="1"/>
  <c r="S39" i="4"/>
  <c r="R33" i="9"/>
  <c r="Q33" i="8"/>
  <c r="O31" i="7"/>
  <c r="P31" i="6"/>
  <c r="O9" i="5"/>
  <c r="P9" i="4"/>
  <c r="P31" i="8"/>
  <c r="Q31" i="9"/>
  <c r="P20" i="5"/>
  <c r="Q20" i="4"/>
  <c r="O35" i="5"/>
  <c r="P35" i="4"/>
  <c r="O33" i="5"/>
  <c r="P33" i="4"/>
  <c r="P6" i="6"/>
  <c r="O6" i="7"/>
  <c r="O25" i="7"/>
  <c r="P25" i="6"/>
  <c r="O21" i="7"/>
  <c r="P21" i="6"/>
  <c r="P23" i="8"/>
  <c r="Q23" i="9"/>
  <c r="P25" i="8"/>
  <c r="Q25" i="9"/>
  <c r="O20" i="7"/>
  <c r="P20" i="6"/>
  <c r="O22" i="8"/>
  <c r="P22" i="9"/>
  <c r="Q35" i="7"/>
  <c r="R35" i="6"/>
  <c r="O23" i="7"/>
  <c r="P23" i="6"/>
  <c r="Q5" i="9"/>
  <c r="P5" i="8"/>
  <c r="N4" i="8"/>
  <c r="O4" i="9"/>
  <c r="P43" i="7"/>
  <c r="Q43" i="6"/>
  <c r="O8" i="7"/>
  <c r="P8" i="6"/>
  <c r="P43" i="9"/>
  <c r="O43" i="8"/>
  <c r="O26" i="8"/>
  <c r="P26" i="9"/>
  <c r="P4" i="7"/>
  <c r="Q4" i="6"/>
  <c r="O6" i="5"/>
  <c r="P6" i="4"/>
  <c r="P11" i="5"/>
  <c r="Q11" i="4"/>
  <c r="Q30" i="9"/>
  <c r="P30" i="8"/>
  <c r="O25" i="5"/>
  <c r="P25" i="4"/>
  <c r="P21" i="8"/>
  <c r="Q21" i="9"/>
  <c r="P35" i="8"/>
  <c r="Q35" i="9"/>
  <c r="Q33" i="7"/>
  <c r="R33" i="6"/>
  <c r="O30" i="7"/>
  <c r="P30" i="6"/>
  <c r="P44" i="8"/>
  <c r="Q44" i="9"/>
  <c r="P10" i="6"/>
  <c r="O10" i="7"/>
  <c r="P9" i="9"/>
  <c r="O9" i="8"/>
  <c r="O7" i="7"/>
  <c r="P7" i="6"/>
  <c r="O44" i="7"/>
  <c r="P44" i="6"/>
  <c r="Q34" i="7"/>
  <c r="R34" i="6"/>
  <c r="P31" i="5"/>
  <c r="Q31" i="4"/>
  <c r="O21" i="5"/>
  <c r="P21" i="4"/>
  <c r="O32" i="7"/>
  <c r="P32" i="6"/>
  <c r="O5" i="5"/>
  <c r="P5" i="4"/>
  <c r="Q38" i="4"/>
  <c r="P38" i="5"/>
  <c r="P7" i="5"/>
  <c r="Q7" i="4"/>
  <c r="O26" i="5"/>
  <c r="P26" i="4"/>
  <c r="O29" i="5"/>
  <c r="P29" i="4"/>
  <c r="P22" i="5"/>
  <c r="Q22" i="4"/>
  <c r="P23" i="5"/>
  <c r="Q23" i="4"/>
  <c r="Q34" i="5"/>
  <c r="R34" i="4"/>
  <c r="Q8" i="5"/>
  <c r="R8" i="4"/>
  <c r="O4" i="5"/>
  <c r="P4" i="4"/>
  <c r="O32" i="5"/>
  <c r="P32" i="4"/>
  <c r="O24" i="5"/>
  <c r="P24" i="4"/>
  <c r="O24" i="7"/>
  <c r="P24" i="6"/>
  <c r="P29" i="8"/>
  <c r="Q29" i="9"/>
  <c r="P39" i="8"/>
  <c r="Q39" i="9"/>
  <c r="P44" i="5"/>
  <c r="Q44" i="4"/>
  <c r="O11" i="7"/>
  <c r="P11" i="6"/>
  <c r="Q11" i="9"/>
  <c r="P11" i="8"/>
  <c r="O10" i="5"/>
  <c r="P10" i="4"/>
  <c r="P38" i="7"/>
  <c r="Q38" i="6"/>
  <c r="O29" i="7"/>
  <c r="P29" i="6"/>
  <c r="O26" i="7"/>
  <c r="P26" i="6"/>
  <c r="P39" i="7"/>
  <c r="Q39" i="6"/>
  <c r="P43" i="5"/>
  <c r="Q43" i="4"/>
  <c r="O20" i="8"/>
  <c r="P20" i="9"/>
  <c r="R6" i="9"/>
  <c r="Q6" i="8"/>
  <c r="O30" i="5"/>
  <c r="P30" i="4"/>
  <c r="O5" i="7"/>
  <c r="P5" i="6"/>
  <c r="O38" i="8"/>
  <c r="P38" i="9"/>
  <c r="Q34" i="9"/>
  <c r="P34" i="8"/>
  <c r="O8" i="8"/>
  <c r="P8" i="9"/>
  <c r="N42" i="8"/>
  <c r="O42" i="9"/>
  <c r="O42" i="8" s="1"/>
  <c r="Q32" i="9"/>
  <c r="P32" i="8"/>
  <c r="O22" i="7"/>
  <c r="P22" i="6"/>
  <c r="O24" i="8"/>
  <c r="P24" i="9"/>
  <c r="Q9" i="7"/>
  <c r="R9" i="6"/>
  <c r="Q43" i="5" l="1"/>
  <c r="R43" i="4"/>
  <c r="P24" i="5"/>
  <c r="Q24" i="4"/>
  <c r="Q22" i="5"/>
  <c r="R22" i="4"/>
  <c r="Q31" i="5"/>
  <c r="R31" i="4"/>
  <c r="R44" i="9"/>
  <c r="Q44" i="8"/>
  <c r="P6" i="5"/>
  <c r="Q6" i="4"/>
  <c r="P4" i="9"/>
  <c r="O4" i="8"/>
  <c r="R25" i="9"/>
  <c r="Q25" i="8"/>
  <c r="P24" i="8"/>
  <c r="Q24" i="9"/>
  <c r="P38" i="8"/>
  <c r="Q38" i="9"/>
  <c r="P20" i="8"/>
  <c r="Q20" i="9"/>
  <c r="P29" i="7"/>
  <c r="Q29" i="6"/>
  <c r="Q11" i="6"/>
  <c r="P11" i="7"/>
  <c r="P24" i="7"/>
  <c r="Q24" i="6"/>
  <c r="R8" i="5"/>
  <c r="G8" i="3"/>
  <c r="Q23" i="5"/>
  <c r="R23" i="4"/>
  <c r="P29" i="5"/>
  <c r="Q29" i="4"/>
  <c r="Q7" i="5"/>
  <c r="R7" i="4"/>
  <c r="P5" i="5"/>
  <c r="Q5" i="4"/>
  <c r="P21" i="5"/>
  <c r="Q21" i="4"/>
  <c r="R34" i="7"/>
  <c r="S34" i="6"/>
  <c r="P7" i="7"/>
  <c r="Q7" i="6"/>
  <c r="P30" i="7"/>
  <c r="Q30" i="6"/>
  <c r="R35" i="9"/>
  <c r="Q35" i="8"/>
  <c r="P25" i="5"/>
  <c r="Q25" i="4"/>
  <c r="Q11" i="5"/>
  <c r="R11" i="4"/>
  <c r="Q4" i="7"/>
  <c r="R4" i="6"/>
  <c r="Q43" i="7"/>
  <c r="R43" i="6"/>
  <c r="R35" i="7"/>
  <c r="S35" i="6"/>
  <c r="P20" i="7"/>
  <c r="Q20" i="6"/>
  <c r="R23" i="9"/>
  <c r="Q23" i="8"/>
  <c r="P25" i="7"/>
  <c r="Q25" i="6"/>
  <c r="P33" i="5"/>
  <c r="Q33" i="4"/>
  <c r="Q20" i="5"/>
  <c r="R20" i="4"/>
  <c r="P9" i="5"/>
  <c r="Q9" i="4"/>
  <c r="R9" i="7"/>
  <c r="S9" i="6"/>
  <c r="P5" i="7"/>
  <c r="Q5" i="6"/>
  <c r="P26" i="7"/>
  <c r="Q26" i="6"/>
  <c r="R29" i="9"/>
  <c r="Q29" i="8"/>
  <c r="R34" i="5"/>
  <c r="S34" i="4"/>
  <c r="Q32" i="6"/>
  <c r="P32" i="7"/>
  <c r="R21" i="9"/>
  <c r="Q21" i="8"/>
  <c r="P26" i="8"/>
  <c r="Q26" i="9"/>
  <c r="P23" i="7"/>
  <c r="Q23" i="6"/>
  <c r="P8" i="8"/>
  <c r="Q8" i="9"/>
  <c r="Q8" i="8" s="1"/>
  <c r="P30" i="5"/>
  <c r="Q30" i="4"/>
  <c r="Q39" i="7"/>
  <c r="R39" i="6"/>
  <c r="P10" i="5"/>
  <c r="Q10" i="4"/>
  <c r="R39" i="9"/>
  <c r="Q39" i="8"/>
  <c r="P32" i="5"/>
  <c r="Q32" i="4"/>
  <c r="R32" i="9"/>
  <c r="Q32" i="8"/>
  <c r="Q10" i="6"/>
  <c r="P10" i="7"/>
  <c r="P43" i="8"/>
  <c r="Q43" i="9"/>
  <c r="Q5" i="8"/>
  <c r="R5" i="9"/>
  <c r="S33" i="9"/>
  <c r="R33" i="8"/>
  <c r="P22" i="7"/>
  <c r="Q22" i="6"/>
  <c r="Q38" i="7"/>
  <c r="R38" i="6"/>
  <c r="R44" i="4"/>
  <c r="Q44" i="5"/>
  <c r="P4" i="5"/>
  <c r="Q4" i="4"/>
  <c r="P26" i="5"/>
  <c r="Q26" i="4"/>
  <c r="P44" i="7"/>
  <c r="Q44" i="6"/>
  <c r="R33" i="7"/>
  <c r="S33" i="6"/>
  <c r="P8" i="7"/>
  <c r="Q8" i="6"/>
  <c r="P22" i="8"/>
  <c r="Q22" i="9"/>
  <c r="P21" i="7"/>
  <c r="Q21" i="6"/>
  <c r="P35" i="5"/>
  <c r="Q35" i="4"/>
  <c r="R31" i="9"/>
  <c r="Q31" i="8"/>
  <c r="P31" i="7"/>
  <c r="Q31" i="6"/>
  <c r="S39" i="5"/>
  <c r="T39" i="4"/>
  <c r="R34" i="9"/>
  <c r="Q34" i="8"/>
  <c r="R6" i="8"/>
  <c r="S6" i="9"/>
  <c r="R11" i="9"/>
  <c r="Q11" i="8"/>
  <c r="Q38" i="5"/>
  <c r="R38" i="4"/>
  <c r="Q9" i="9"/>
  <c r="P9" i="8"/>
  <c r="R30" i="9"/>
  <c r="Q30" i="8"/>
  <c r="P6" i="7"/>
  <c r="Q6" i="6"/>
  <c r="T6" i="9" l="1"/>
  <c r="T6" i="8" s="1"/>
  <c r="S6" i="8"/>
  <c r="Q4" i="5"/>
  <c r="R4" i="4"/>
  <c r="Q33" i="5"/>
  <c r="R33" i="4"/>
  <c r="R4" i="7"/>
  <c r="S4" i="6"/>
  <c r="S34" i="7"/>
  <c r="T34" i="6"/>
  <c r="Q6" i="7"/>
  <c r="R6" i="6"/>
  <c r="R31" i="6"/>
  <c r="Q31" i="7"/>
  <c r="R22" i="9"/>
  <c r="Q22" i="8"/>
  <c r="R26" i="4"/>
  <c r="Q26" i="5"/>
  <c r="Q22" i="7"/>
  <c r="R22" i="6"/>
  <c r="R32" i="4"/>
  <c r="Q32" i="5"/>
  <c r="Q10" i="5"/>
  <c r="R10" i="4"/>
  <c r="Q30" i="5"/>
  <c r="R30" i="4"/>
  <c r="Q23" i="7"/>
  <c r="R23" i="6"/>
  <c r="T34" i="4"/>
  <c r="S34" i="5"/>
  <c r="Q26" i="7"/>
  <c r="R26" i="6"/>
  <c r="S9" i="7"/>
  <c r="F9" i="3"/>
  <c r="R20" i="5"/>
  <c r="S20" i="4"/>
  <c r="R25" i="6"/>
  <c r="Q25" i="7"/>
  <c r="Q20" i="7"/>
  <c r="R20" i="6"/>
  <c r="R43" i="7"/>
  <c r="S43" i="6"/>
  <c r="R11" i="5"/>
  <c r="S11" i="4"/>
  <c r="R7" i="6"/>
  <c r="Q7" i="7"/>
  <c r="Q21" i="5"/>
  <c r="R21" i="4"/>
  <c r="R7" i="5"/>
  <c r="S7" i="4"/>
  <c r="R23" i="5"/>
  <c r="S23" i="4"/>
  <c r="Q24" i="7"/>
  <c r="R24" i="6"/>
  <c r="R29" i="6"/>
  <c r="Q29" i="7"/>
  <c r="R38" i="9"/>
  <c r="Q38" i="8"/>
  <c r="Q6" i="5"/>
  <c r="R6" i="4"/>
  <c r="R31" i="5"/>
  <c r="S31" i="4"/>
  <c r="Q24" i="5"/>
  <c r="R24" i="4"/>
  <c r="T39" i="5"/>
  <c r="U39" i="4"/>
  <c r="R8" i="6"/>
  <c r="Q8" i="7"/>
  <c r="R38" i="7"/>
  <c r="S38" i="6"/>
  <c r="R26" i="9"/>
  <c r="Q26" i="8"/>
  <c r="Q5" i="7"/>
  <c r="R5" i="6"/>
  <c r="Q25" i="5"/>
  <c r="R25" i="4"/>
  <c r="Q29" i="5"/>
  <c r="R29" i="4"/>
  <c r="R24" i="9"/>
  <c r="Q24" i="8"/>
  <c r="R35" i="4"/>
  <c r="Q35" i="5"/>
  <c r="T33" i="6"/>
  <c r="S33" i="7"/>
  <c r="S5" i="9"/>
  <c r="R5" i="8"/>
  <c r="R9" i="9"/>
  <c r="R9" i="8" s="1"/>
  <c r="Q9" i="8"/>
  <c r="S11" i="9"/>
  <c r="R11" i="8"/>
  <c r="S34" i="9"/>
  <c r="R34" i="8"/>
  <c r="R44" i="5"/>
  <c r="S44" i="4"/>
  <c r="Q10" i="7"/>
  <c r="R10" i="6"/>
  <c r="S21" i="9"/>
  <c r="R21" i="8"/>
  <c r="S35" i="9"/>
  <c r="R35" i="8"/>
  <c r="S25" i="9"/>
  <c r="R25" i="8"/>
  <c r="R38" i="5"/>
  <c r="S38" i="4"/>
  <c r="Q21" i="7"/>
  <c r="R21" i="6"/>
  <c r="Q44" i="7"/>
  <c r="R44" i="6"/>
  <c r="Q43" i="8"/>
  <c r="R43" i="9"/>
  <c r="R39" i="7"/>
  <c r="S39" i="6"/>
  <c r="Q9" i="5"/>
  <c r="R9" i="4"/>
  <c r="S35" i="7"/>
  <c r="T35" i="6"/>
  <c r="R30" i="6"/>
  <c r="Q30" i="7"/>
  <c r="Q5" i="5"/>
  <c r="R5" i="4"/>
  <c r="R20" i="9"/>
  <c r="Q20" i="8"/>
  <c r="R22" i="5"/>
  <c r="S22" i="4"/>
  <c r="R43" i="5"/>
  <c r="S43" i="4"/>
  <c r="S30" i="9"/>
  <c r="R30" i="8"/>
  <c r="S31" i="9"/>
  <c r="R31" i="8"/>
  <c r="S33" i="8"/>
  <c r="T33" i="9"/>
  <c r="T33" i="8" s="1"/>
  <c r="S32" i="9"/>
  <c r="R32" i="8"/>
  <c r="S39" i="9"/>
  <c r="R39" i="8"/>
  <c r="R32" i="6"/>
  <c r="Q32" i="7"/>
  <c r="S29" i="9"/>
  <c r="R29" i="8"/>
  <c r="S23" i="9"/>
  <c r="R23" i="8"/>
  <c r="R11" i="6"/>
  <c r="Q11" i="7"/>
  <c r="Q4" i="9"/>
  <c r="P4" i="8"/>
  <c r="S44" i="9"/>
  <c r="R44" i="8"/>
  <c r="T35" i="7" l="1"/>
  <c r="U35" i="6"/>
  <c r="S38" i="5"/>
  <c r="T38" i="4"/>
  <c r="R24" i="5"/>
  <c r="S24" i="4"/>
  <c r="S23" i="5"/>
  <c r="T23" i="4"/>
  <c r="R21" i="5"/>
  <c r="S21" i="4"/>
  <c r="S20" i="6"/>
  <c r="R20" i="7"/>
  <c r="S20" i="5"/>
  <c r="T20" i="4"/>
  <c r="R26" i="7"/>
  <c r="S26" i="6"/>
  <c r="S23" i="6"/>
  <c r="R23" i="7"/>
  <c r="R10" i="5"/>
  <c r="G10" i="3"/>
  <c r="S22" i="6"/>
  <c r="R22" i="7"/>
  <c r="S6" i="6"/>
  <c r="R6" i="7"/>
  <c r="S4" i="7"/>
  <c r="T4" i="6"/>
  <c r="R4" i="5"/>
  <c r="S4" i="4"/>
  <c r="S44" i="8"/>
  <c r="T44" i="9"/>
  <c r="T44" i="8" s="1"/>
  <c r="R11" i="7"/>
  <c r="S11" i="6"/>
  <c r="S29" i="8"/>
  <c r="T29" i="9"/>
  <c r="T29" i="8" s="1"/>
  <c r="S39" i="8"/>
  <c r="T39" i="9"/>
  <c r="T39" i="8" s="1"/>
  <c r="T30" i="9"/>
  <c r="T30" i="8" s="1"/>
  <c r="S30" i="8"/>
  <c r="S35" i="8"/>
  <c r="T35" i="9"/>
  <c r="T35" i="8" s="1"/>
  <c r="T34" i="9"/>
  <c r="T34" i="8" s="1"/>
  <c r="S34" i="8"/>
  <c r="U33" i="6"/>
  <c r="T33" i="7"/>
  <c r="S24" i="9"/>
  <c r="R24" i="8"/>
  <c r="S26" i="9"/>
  <c r="R26" i="8"/>
  <c r="R8" i="7"/>
  <c r="F8" i="3"/>
  <c r="I8" i="3" s="1"/>
  <c r="S29" i="6"/>
  <c r="R29" i="7"/>
  <c r="S22" i="9"/>
  <c r="R22" i="8"/>
  <c r="S22" i="5"/>
  <c r="T22" i="4"/>
  <c r="T39" i="6"/>
  <c r="S39" i="7"/>
  <c r="S43" i="9"/>
  <c r="R43" i="8"/>
  <c r="R21" i="7"/>
  <c r="S21" i="6"/>
  <c r="S44" i="5"/>
  <c r="T44" i="4"/>
  <c r="R29" i="5"/>
  <c r="S29" i="4"/>
  <c r="S5" i="6"/>
  <c r="R5" i="7"/>
  <c r="S38" i="7"/>
  <c r="T38" i="6"/>
  <c r="V39" i="4"/>
  <c r="U39" i="5"/>
  <c r="S31" i="5"/>
  <c r="T31" i="4"/>
  <c r="S24" i="6"/>
  <c r="R24" i="7"/>
  <c r="S7" i="5"/>
  <c r="G7" i="3"/>
  <c r="S43" i="7"/>
  <c r="T43" i="6"/>
  <c r="S30" i="4"/>
  <c r="R30" i="5"/>
  <c r="T34" i="7"/>
  <c r="U34" i="6"/>
  <c r="R33" i="5"/>
  <c r="S33" i="4"/>
  <c r="R5" i="5"/>
  <c r="S5" i="4"/>
  <c r="R44" i="7"/>
  <c r="S44" i="6"/>
  <c r="R10" i="7"/>
  <c r="F10" i="3"/>
  <c r="R25" i="5"/>
  <c r="S25" i="4"/>
  <c r="R6" i="5"/>
  <c r="S6" i="4"/>
  <c r="S11" i="5"/>
  <c r="T11" i="4"/>
  <c r="S43" i="5"/>
  <c r="T43" i="4"/>
  <c r="R9" i="5"/>
  <c r="S9" i="4"/>
  <c r="R4" i="9"/>
  <c r="Q4" i="8"/>
  <c r="T23" i="9"/>
  <c r="T23" i="8" s="1"/>
  <c r="S23" i="8"/>
  <c r="R32" i="7"/>
  <c r="S32" i="6"/>
  <c r="T32" i="9"/>
  <c r="T32" i="8" s="1"/>
  <c r="S32" i="8"/>
  <c r="S31" i="8"/>
  <c r="T31" i="9"/>
  <c r="T31" i="8" s="1"/>
  <c r="S20" i="9"/>
  <c r="R20" i="8"/>
  <c r="R30" i="7"/>
  <c r="S30" i="6"/>
  <c r="T25" i="9"/>
  <c r="T25" i="8" s="1"/>
  <c r="S25" i="8"/>
  <c r="T21" i="9"/>
  <c r="T21" i="8" s="1"/>
  <c r="S21" i="8"/>
  <c r="S11" i="8"/>
  <c r="T11" i="9"/>
  <c r="T11" i="8" s="1"/>
  <c r="T5" i="9"/>
  <c r="T5" i="8" s="1"/>
  <c r="S5" i="8"/>
  <c r="R35" i="5"/>
  <c r="S35" i="4"/>
  <c r="S38" i="9"/>
  <c r="R38" i="8"/>
  <c r="R7" i="7"/>
  <c r="S7" i="6"/>
  <c r="S25" i="6"/>
  <c r="R25" i="7"/>
  <c r="T34" i="5"/>
  <c r="U34" i="4"/>
  <c r="R32" i="5"/>
  <c r="S32" i="4"/>
  <c r="R26" i="5"/>
  <c r="S26" i="4"/>
  <c r="R31" i="7"/>
  <c r="S31" i="6"/>
  <c r="S25" i="7" l="1"/>
  <c r="T25" i="6"/>
  <c r="T38" i="9"/>
  <c r="T38" i="8" s="1"/>
  <c r="S38" i="8"/>
  <c r="S4" i="5"/>
  <c r="T4" i="4"/>
  <c r="S26" i="7"/>
  <c r="T26" i="6"/>
  <c r="T23" i="5"/>
  <c r="U23" i="4"/>
  <c r="S26" i="5"/>
  <c r="T26" i="4"/>
  <c r="S7" i="7"/>
  <c r="F7" i="3"/>
  <c r="I7" i="3" s="1"/>
  <c r="S35" i="5"/>
  <c r="T35" i="4"/>
  <c r="S9" i="5"/>
  <c r="G9" i="3"/>
  <c r="I9" i="3" s="1"/>
  <c r="T11" i="5"/>
  <c r="U11" i="4"/>
  <c r="S25" i="5"/>
  <c r="T25" i="4"/>
  <c r="T44" i="6"/>
  <c r="S44" i="7"/>
  <c r="S33" i="5"/>
  <c r="T33" i="4"/>
  <c r="S24" i="7"/>
  <c r="T24" i="6"/>
  <c r="V39" i="5"/>
  <c r="W39" i="4"/>
  <c r="S5" i="7"/>
  <c r="T5" i="6"/>
  <c r="T43" i="9"/>
  <c r="T43" i="8" s="1"/>
  <c r="S43" i="8"/>
  <c r="S29" i="7"/>
  <c r="T29" i="6"/>
  <c r="T26" i="9"/>
  <c r="T26" i="8" s="1"/>
  <c r="S26" i="8"/>
  <c r="U33" i="7"/>
  <c r="V33" i="6"/>
  <c r="T6" i="6"/>
  <c r="S6" i="7"/>
  <c r="S20" i="7"/>
  <c r="T20" i="6"/>
  <c r="S4" i="9"/>
  <c r="R4" i="8"/>
  <c r="T43" i="7"/>
  <c r="U43" i="6"/>
  <c r="T22" i="5"/>
  <c r="U22" i="4"/>
  <c r="S11" i="7"/>
  <c r="T11" i="6"/>
  <c r="U38" i="4"/>
  <c r="T38" i="5"/>
  <c r="U34" i="5"/>
  <c r="V34" i="4"/>
  <c r="T20" i="9"/>
  <c r="T20" i="8" s="1"/>
  <c r="S20" i="8"/>
  <c r="S30" i="5"/>
  <c r="T30" i="4"/>
  <c r="T31" i="5"/>
  <c r="U31" i="4"/>
  <c r="T38" i="7"/>
  <c r="U38" i="6"/>
  <c r="S29" i="5"/>
  <c r="T29" i="4"/>
  <c r="S21" i="7"/>
  <c r="T21" i="6"/>
  <c r="T4" i="7"/>
  <c r="U4" i="6"/>
  <c r="T20" i="5"/>
  <c r="U20" i="4"/>
  <c r="S21" i="5"/>
  <c r="T21" i="4"/>
  <c r="S24" i="5"/>
  <c r="T24" i="4"/>
  <c r="U35" i="7"/>
  <c r="V35" i="6"/>
  <c r="T44" i="5"/>
  <c r="U44" i="4"/>
  <c r="S31" i="7"/>
  <c r="T31" i="6"/>
  <c r="S32" i="5"/>
  <c r="T32" i="4"/>
  <c r="S30" i="7"/>
  <c r="T30" i="6"/>
  <c r="S32" i="7"/>
  <c r="T32" i="6"/>
  <c r="T43" i="5"/>
  <c r="U43" i="4"/>
  <c r="S6" i="5"/>
  <c r="T6" i="4"/>
  <c r="I10" i="3"/>
  <c r="S5" i="5"/>
  <c r="T5" i="4"/>
  <c r="U34" i="7"/>
  <c r="V34" i="6"/>
  <c r="T39" i="7"/>
  <c r="U39" i="6"/>
  <c r="T22" i="9"/>
  <c r="T22" i="8" s="1"/>
  <c r="S22" i="8"/>
  <c r="T24" i="9"/>
  <c r="T24" i="8" s="1"/>
  <c r="S24" i="8"/>
  <c r="S22" i="7"/>
  <c r="T22" i="6"/>
  <c r="S23" i="7"/>
  <c r="T23" i="6"/>
  <c r="T32" i="7" l="1"/>
  <c r="U32" i="6"/>
  <c r="U44" i="5"/>
  <c r="V44" i="4"/>
  <c r="U20" i="5"/>
  <c r="V20" i="4"/>
  <c r="T21" i="7"/>
  <c r="U21" i="6"/>
  <c r="U38" i="7"/>
  <c r="V38" i="6"/>
  <c r="T30" i="5"/>
  <c r="U30" i="4"/>
  <c r="V34" i="5"/>
  <c r="W34" i="4"/>
  <c r="U11" i="6"/>
  <c r="T11" i="7"/>
  <c r="U43" i="7"/>
  <c r="V43" i="6"/>
  <c r="T20" i="7"/>
  <c r="U20" i="6"/>
  <c r="V33" i="7"/>
  <c r="W33" i="6"/>
  <c r="T29" i="7"/>
  <c r="U29" i="6"/>
  <c r="T5" i="7"/>
  <c r="U5" i="6"/>
  <c r="T24" i="7"/>
  <c r="U24" i="6"/>
  <c r="U11" i="5"/>
  <c r="V11" i="4"/>
  <c r="T35" i="5"/>
  <c r="U35" i="4"/>
  <c r="T26" i="5"/>
  <c r="U26" i="4"/>
  <c r="T26" i="7"/>
  <c r="U26" i="6"/>
  <c r="U43" i="5"/>
  <c r="V43" i="4"/>
  <c r="T6" i="5"/>
  <c r="U6" i="4"/>
  <c r="T32" i="5"/>
  <c r="U32" i="4"/>
  <c r="T24" i="5"/>
  <c r="U24" i="4"/>
  <c r="T23" i="7"/>
  <c r="U23" i="6"/>
  <c r="U39" i="7"/>
  <c r="V39" i="6"/>
  <c r="T5" i="5"/>
  <c r="U5" i="4"/>
  <c r="T44" i="7"/>
  <c r="U44" i="6"/>
  <c r="T30" i="7"/>
  <c r="U30" i="6"/>
  <c r="T31" i="7"/>
  <c r="U31" i="6"/>
  <c r="V35" i="7"/>
  <c r="W35" i="6"/>
  <c r="T21" i="5"/>
  <c r="U21" i="4"/>
  <c r="U4" i="7"/>
  <c r="V4" i="6"/>
  <c r="T29" i="5"/>
  <c r="U29" i="4"/>
  <c r="U31" i="5"/>
  <c r="V31" i="4"/>
  <c r="V22" i="4"/>
  <c r="U22" i="5"/>
  <c r="W39" i="5"/>
  <c r="X39" i="4"/>
  <c r="T33" i="5"/>
  <c r="U33" i="4"/>
  <c r="T25" i="5"/>
  <c r="U25" i="4"/>
  <c r="U23" i="5"/>
  <c r="V23" i="4"/>
  <c r="T4" i="5"/>
  <c r="U4" i="4"/>
  <c r="T25" i="7"/>
  <c r="U25" i="6"/>
  <c r="T22" i="7"/>
  <c r="U22" i="6"/>
  <c r="V34" i="7"/>
  <c r="W34" i="6"/>
  <c r="U38" i="5"/>
  <c r="V38" i="4"/>
  <c r="T4" i="9"/>
  <c r="T4" i="8" s="1"/>
  <c r="S4" i="8"/>
  <c r="T6" i="7"/>
  <c r="U6" i="6"/>
  <c r="U33" i="5" l="1"/>
  <c r="V33" i="4"/>
  <c r="U29" i="5"/>
  <c r="V29" i="4"/>
  <c r="U21" i="5"/>
  <c r="V21" i="4"/>
  <c r="V31" i="6"/>
  <c r="U31" i="7"/>
  <c r="U44" i="7"/>
  <c r="V44" i="6"/>
  <c r="V39" i="7"/>
  <c r="W39" i="6"/>
  <c r="U24" i="5"/>
  <c r="V24" i="4"/>
  <c r="U6" i="5"/>
  <c r="V6" i="4"/>
  <c r="U26" i="7"/>
  <c r="V26" i="6"/>
  <c r="U35" i="5"/>
  <c r="V35" i="4"/>
  <c r="U24" i="7"/>
  <c r="V24" i="6"/>
  <c r="V29" i="6"/>
  <c r="U29" i="7"/>
  <c r="U20" i="7"/>
  <c r="V20" i="6"/>
  <c r="U30" i="5"/>
  <c r="V30" i="4"/>
  <c r="V21" i="6"/>
  <c r="U21" i="7"/>
  <c r="W44" i="4"/>
  <c r="V44" i="5"/>
  <c r="U25" i="7"/>
  <c r="V25" i="6"/>
  <c r="V22" i="5"/>
  <c r="W22" i="4"/>
  <c r="V11" i="6"/>
  <c r="U11" i="7"/>
  <c r="W34" i="7"/>
  <c r="X34" i="6"/>
  <c r="U6" i="7"/>
  <c r="V6" i="6"/>
  <c r="U22" i="7"/>
  <c r="V22" i="6"/>
  <c r="U25" i="5"/>
  <c r="V25" i="4"/>
  <c r="V31" i="5"/>
  <c r="W31" i="4"/>
  <c r="X35" i="6"/>
  <c r="W35" i="7"/>
  <c r="U5" i="5"/>
  <c r="V5" i="4"/>
  <c r="V32" i="4"/>
  <c r="U32" i="5"/>
  <c r="V26" i="4"/>
  <c r="U26" i="5"/>
  <c r="U5" i="7"/>
  <c r="V5" i="6"/>
  <c r="X33" i="6"/>
  <c r="W33" i="7"/>
  <c r="V43" i="7"/>
  <c r="W43" i="6"/>
  <c r="X34" i="4"/>
  <c r="W34" i="5"/>
  <c r="V38" i="7"/>
  <c r="W38" i="6"/>
  <c r="V20" i="5"/>
  <c r="W20" i="4"/>
  <c r="V32" i="6"/>
  <c r="U32" i="7"/>
  <c r="V23" i="5"/>
  <c r="W23" i="4"/>
  <c r="V38" i="5"/>
  <c r="W38" i="4"/>
  <c r="U4" i="5"/>
  <c r="V4" i="4"/>
  <c r="X39" i="5"/>
  <c r="Y39" i="4"/>
  <c r="V4" i="7"/>
  <c r="W4" i="6"/>
  <c r="U30" i="7"/>
  <c r="V30" i="6"/>
  <c r="U23" i="7"/>
  <c r="V23" i="6"/>
  <c r="V43" i="5"/>
  <c r="W43" i="4"/>
  <c r="V11" i="5"/>
  <c r="W11" i="4"/>
  <c r="W11" i="5" l="1"/>
  <c r="X11" i="4"/>
  <c r="X11" i="5" s="1"/>
  <c r="W4" i="7"/>
  <c r="X4" i="6"/>
  <c r="W23" i="5"/>
  <c r="X23" i="4"/>
  <c r="W20" i="5"/>
  <c r="X20" i="4"/>
  <c r="V5" i="5"/>
  <c r="W5" i="4"/>
  <c r="W31" i="5"/>
  <c r="X31" i="4"/>
  <c r="W22" i="6"/>
  <c r="V22" i="7"/>
  <c r="X34" i="7"/>
  <c r="Y34" i="6"/>
  <c r="W22" i="5"/>
  <c r="X22" i="4"/>
  <c r="W30" i="4"/>
  <c r="V30" i="5"/>
  <c r="V35" i="5"/>
  <c r="W35" i="4"/>
  <c r="V6" i="5"/>
  <c r="W6" i="4"/>
  <c r="X39" i="6"/>
  <c r="W39" i="7"/>
  <c r="V29" i="5"/>
  <c r="W29" i="4"/>
  <c r="V23" i="7"/>
  <c r="W23" i="6"/>
  <c r="V4" i="5"/>
  <c r="W4" i="4"/>
  <c r="X34" i="5"/>
  <c r="Y34" i="4"/>
  <c r="Y33" i="6"/>
  <c r="X33" i="7"/>
  <c r="V26" i="5"/>
  <c r="W26" i="4"/>
  <c r="W44" i="5"/>
  <c r="X44" i="4"/>
  <c r="W29" i="6"/>
  <c r="V29" i="7"/>
  <c r="V31" i="7"/>
  <c r="W31" i="6"/>
  <c r="W43" i="5"/>
  <c r="X43" i="4"/>
  <c r="W38" i="5"/>
  <c r="X38" i="4"/>
  <c r="W38" i="7"/>
  <c r="X38" i="6"/>
  <c r="W5" i="6"/>
  <c r="V5" i="7"/>
  <c r="W6" i="6"/>
  <c r="V6" i="7"/>
  <c r="V20" i="7"/>
  <c r="W20" i="6"/>
  <c r="W24" i="6"/>
  <c r="V24" i="7"/>
  <c r="W26" i="6"/>
  <c r="V26" i="7"/>
  <c r="V24" i="5"/>
  <c r="W24" i="4"/>
  <c r="V44" i="7"/>
  <c r="W44" i="6"/>
  <c r="V21" i="5"/>
  <c r="W21" i="4"/>
  <c r="W33" i="4"/>
  <c r="V33" i="5"/>
  <c r="V30" i="7"/>
  <c r="W30" i="6"/>
  <c r="Y39" i="5"/>
  <c r="Z39" i="4"/>
  <c r="X43" i="6"/>
  <c r="W43" i="7"/>
  <c r="V25" i="5"/>
  <c r="W25" i="4"/>
  <c r="W25" i="6"/>
  <c r="V25" i="7"/>
  <c r="V32" i="7"/>
  <c r="W32" i="6"/>
  <c r="V32" i="5"/>
  <c r="W32" i="4"/>
  <c r="Y35" i="6"/>
  <c r="X35" i="7"/>
  <c r="V11" i="7"/>
  <c r="W11" i="6"/>
  <c r="W21" i="6"/>
  <c r="V21" i="7"/>
  <c r="W25" i="5" l="1"/>
  <c r="X25" i="4"/>
  <c r="Z39" i="5"/>
  <c r="AA39" i="4"/>
  <c r="W44" i="7"/>
  <c r="X44" i="6"/>
  <c r="W20" i="7"/>
  <c r="X20" i="6"/>
  <c r="Y38" i="4"/>
  <c r="X38" i="5"/>
  <c r="W31" i="7"/>
  <c r="X31" i="6"/>
  <c r="X44" i="5"/>
  <c r="Y44" i="4"/>
  <c r="W4" i="5"/>
  <c r="X4" i="4"/>
  <c r="W29" i="5"/>
  <c r="X29" i="4"/>
  <c r="W6" i="5"/>
  <c r="X6" i="4"/>
  <c r="Y34" i="7"/>
  <c r="Z34" i="6"/>
  <c r="X31" i="5"/>
  <c r="Y31" i="4"/>
  <c r="X20" i="5"/>
  <c r="Y20" i="4"/>
  <c r="X4" i="7"/>
  <c r="Y4" i="6"/>
  <c r="W32" i="7"/>
  <c r="X32" i="6"/>
  <c r="W21" i="7"/>
  <c r="X21" i="6"/>
  <c r="Y35" i="7"/>
  <c r="Z35" i="6"/>
  <c r="W33" i="5"/>
  <c r="X33" i="4"/>
  <c r="W26" i="7"/>
  <c r="X26" i="6"/>
  <c r="W5" i="7"/>
  <c r="X5" i="6"/>
  <c r="Y33" i="7"/>
  <c r="Z33" i="6"/>
  <c r="W30" i="5"/>
  <c r="X30" i="4"/>
  <c r="W32" i="5"/>
  <c r="X32" i="4"/>
  <c r="W21" i="5"/>
  <c r="X21" i="4"/>
  <c r="X38" i="7"/>
  <c r="Y38" i="6"/>
  <c r="W26" i="5"/>
  <c r="X26" i="4"/>
  <c r="Y34" i="5"/>
  <c r="Z34" i="4"/>
  <c r="W23" i="7"/>
  <c r="X23" i="6"/>
  <c r="W35" i="5"/>
  <c r="X35" i="4"/>
  <c r="X22" i="5"/>
  <c r="Y22" i="4"/>
  <c r="W5" i="5"/>
  <c r="X5" i="4"/>
  <c r="X23" i="5"/>
  <c r="Y23" i="4"/>
  <c r="W11" i="7"/>
  <c r="X11" i="6"/>
  <c r="X11" i="7" s="1"/>
  <c r="W30" i="7"/>
  <c r="X30" i="6"/>
  <c r="W24" i="5"/>
  <c r="X24" i="4"/>
  <c r="X43" i="5"/>
  <c r="Y43" i="4"/>
  <c r="W25" i="7"/>
  <c r="X25" i="6"/>
  <c r="X43" i="7"/>
  <c r="Y43" i="6"/>
  <c r="W24" i="7"/>
  <c r="X24" i="6"/>
  <c r="X6" i="6"/>
  <c r="W6" i="7"/>
  <c r="W29" i="7"/>
  <c r="X29" i="6"/>
  <c r="X39" i="7"/>
  <c r="Y39" i="6"/>
  <c r="W22" i="7"/>
  <c r="X22" i="6"/>
  <c r="Y39" i="7" l="1"/>
  <c r="Z39" i="6"/>
  <c r="Y43" i="5"/>
  <c r="Z43" i="4"/>
  <c r="Y23" i="5"/>
  <c r="Z23" i="4"/>
  <c r="X23" i="7"/>
  <c r="Y23" i="6"/>
  <c r="X26" i="5"/>
  <c r="Y26" i="4"/>
  <c r="X21" i="5"/>
  <c r="Y21" i="4"/>
  <c r="X30" i="5"/>
  <c r="Y30" i="4"/>
  <c r="X5" i="7"/>
  <c r="Y5" i="6"/>
  <c r="X33" i="5"/>
  <c r="Y33" i="4"/>
  <c r="X21" i="7"/>
  <c r="Y21" i="6"/>
  <c r="Y4" i="7"/>
  <c r="Z4" i="6"/>
  <c r="Y31" i="5"/>
  <c r="Z31" i="4"/>
  <c r="X6" i="5"/>
  <c r="Y6" i="4"/>
  <c r="X4" i="5"/>
  <c r="Y4" i="4"/>
  <c r="X31" i="7"/>
  <c r="Y31" i="6"/>
  <c r="X20" i="7"/>
  <c r="Y20" i="6"/>
  <c r="AA39" i="5"/>
  <c r="AB39" i="4"/>
  <c r="Y43" i="7"/>
  <c r="Z43" i="6"/>
  <c r="X30" i="7"/>
  <c r="Y30" i="6"/>
  <c r="Z22" i="4"/>
  <c r="Y22" i="5"/>
  <c r="X6" i="7"/>
  <c r="Y6" i="6"/>
  <c r="X22" i="7"/>
  <c r="Y22" i="6"/>
  <c r="X24" i="7"/>
  <c r="Y24" i="6"/>
  <c r="X35" i="5"/>
  <c r="Y35" i="4"/>
  <c r="Y38" i="7"/>
  <c r="Z38" i="6"/>
  <c r="Z33" i="7"/>
  <c r="AA33" i="6"/>
  <c r="Z35" i="7"/>
  <c r="AA35" i="6"/>
  <c r="X32" i="7"/>
  <c r="Y32" i="6"/>
  <c r="Y20" i="5"/>
  <c r="Z20" i="4"/>
  <c r="AA34" i="6"/>
  <c r="Z34" i="7"/>
  <c r="F34" i="3"/>
  <c r="X29" i="5"/>
  <c r="Y29" i="4"/>
  <c r="Y44" i="5"/>
  <c r="Z44" i="4"/>
  <c r="X44" i="7"/>
  <c r="Y44" i="6"/>
  <c r="X25" i="5"/>
  <c r="Y25" i="4"/>
  <c r="X29" i="7"/>
  <c r="Y29" i="6"/>
  <c r="X25" i="7"/>
  <c r="Y25" i="6"/>
  <c r="X24" i="5"/>
  <c r="Y24" i="4"/>
  <c r="X5" i="5"/>
  <c r="Y5" i="4"/>
  <c r="Z34" i="5"/>
  <c r="AA34" i="4"/>
  <c r="G34" i="3"/>
  <c r="X32" i="5"/>
  <c r="Y32" i="4"/>
  <c r="X26" i="7"/>
  <c r="Y26" i="6"/>
  <c r="Y38" i="5"/>
  <c r="Z38" i="4"/>
  <c r="Y32" i="7" l="1"/>
  <c r="Z32" i="6"/>
  <c r="AA33" i="7"/>
  <c r="AB33" i="6"/>
  <c r="Y35" i="5"/>
  <c r="Z35" i="4"/>
  <c r="Y22" i="7"/>
  <c r="Z22" i="6"/>
  <c r="Z43" i="7"/>
  <c r="F43" i="3"/>
  <c r="Y20" i="7"/>
  <c r="Z20" i="6"/>
  <c r="Y4" i="5"/>
  <c r="Z4" i="4"/>
  <c r="Z31" i="5"/>
  <c r="AA31" i="4"/>
  <c r="Z21" i="6"/>
  <c r="Y21" i="7"/>
  <c r="Y5" i="7"/>
  <c r="Z5" i="6"/>
  <c r="Y21" i="5"/>
  <c r="Z21" i="4"/>
  <c r="Z23" i="6"/>
  <c r="Y23" i="7"/>
  <c r="Z43" i="5"/>
  <c r="G43" i="3"/>
  <c r="Y26" i="7"/>
  <c r="Z26" i="6"/>
  <c r="AB34" i="4"/>
  <c r="AA34" i="5"/>
  <c r="Y24" i="5"/>
  <c r="Z24" i="4"/>
  <c r="Y29" i="7"/>
  <c r="Z29" i="6"/>
  <c r="Y44" i="7"/>
  <c r="Z44" i="6"/>
  <c r="Z29" i="4"/>
  <c r="Y29" i="5"/>
  <c r="AA34" i="7"/>
  <c r="AB34" i="6"/>
  <c r="Z22" i="5"/>
  <c r="AA22" i="4"/>
  <c r="Z32" i="4"/>
  <c r="Y32" i="5"/>
  <c r="Z20" i="5"/>
  <c r="AA20" i="4"/>
  <c r="Z38" i="7"/>
  <c r="AA38" i="6"/>
  <c r="Y6" i="7"/>
  <c r="Z6" i="6"/>
  <c r="Y30" i="7"/>
  <c r="Z30" i="6"/>
  <c r="AB39" i="5"/>
  <c r="AC39" i="4"/>
  <c r="Z31" i="6"/>
  <c r="Y31" i="7"/>
  <c r="Y6" i="5"/>
  <c r="Z6" i="4"/>
  <c r="Z4" i="7"/>
  <c r="AA4" i="6"/>
  <c r="Y33" i="5"/>
  <c r="Z33" i="4"/>
  <c r="Y30" i="5"/>
  <c r="Z30" i="4"/>
  <c r="Z26" i="4"/>
  <c r="Y26" i="5"/>
  <c r="Z23" i="5"/>
  <c r="AA23" i="4"/>
  <c r="Z39" i="7"/>
  <c r="AA39" i="6"/>
  <c r="Z38" i="5"/>
  <c r="AA38" i="4"/>
  <c r="AA35" i="7"/>
  <c r="AB35" i="6"/>
  <c r="Y24" i="7"/>
  <c r="Z24" i="6"/>
  <c r="Y5" i="5"/>
  <c r="Z5" i="4"/>
  <c r="Y25" i="7"/>
  <c r="Z25" i="6"/>
  <c r="Y25" i="5"/>
  <c r="Z25" i="4"/>
  <c r="Z44" i="5"/>
  <c r="G44" i="3"/>
  <c r="I34" i="3"/>
  <c r="AA24" i="6" l="1"/>
  <c r="Z24" i="7"/>
  <c r="AA23" i="5"/>
  <c r="AB23" i="4"/>
  <c r="AA4" i="7"/>
  <c r="AB4" i="6"/>
  <c r="Z30" i="7"/>
  <c r="AA30" i="6"/>
  <c r="AA38" i="7"/>
  <c r="AB38" i="6"/>
  <c r="AB34" i="7"/>
  <c r="AC34" i="6"/>
  <c r="Z44" i="7"/>
  <c r="F44" i="3"/>
  <c r="I44" i="3" s="1"/>
  <c r="Z24" i="5"/>
  <c r="AA24" i="4"/>
  <c r="AA26" i="6"/>
  <c r="Z26" i="7"/>
  <c r="Z5" i="7"/>
  <c r="F5" i="3"/>
  <c r="I5" i="3" s="1"/>
  <c r="AB31" i="4"/>
  <c r="AA31" i="5"/>
  <c r="AA20" i="6"/>
  <c r="Z20" i="7"/>
  <c r="Z22" i="7"/>
  <c r="AA22" i="6"/>
  <c r="AC33" i="6"/>
  <c r="AB33" i="7"/>
  <c r="Z25" i="7"/>
  <c r="AA25" i="6"/>
  <c r="AA38" i="5"/>
  <c r="AB38" i="4"/>
  <c r="AA30" i="4"/>
  <c r="Z30" i="5"/>
  <c r="Z31" i="7"/>
  <c r="AA31" i="6"/>
  <c r="Z32" i="5"/>
  <c r="AA32" i="4"/>
  <c r="AA23" i="6"/>
  <c r="Z23" i="7"/>
  <c r="Z25" i="5"/>
  <c r="AA25" i="4"/>
  <c r="AB35" i="7"/>
  <c r="AC35" i="6"/>
  <c r="Z6" i="5"/>
  <c r="G6" i="3"/>
  <c r="Z6" i="7"/>
  <c r="F6" i="3"/>
  <c r="I6" i="3" s="1"/>
  <c r="AA22" i="5"/>
  <c r="AB22" i="4"/>
  <c r="AA29" i="6"/>
  <c r="Z29" i="7"/>
  <c r="Z21" i="5"/>
  <c r="AA21" i="4"/>
  <c r="Z4" i="5"/>
  <c r="AA4" i="4"/>
  <c r="I43" i="3"/>
  <c r="Z35" i="5"/>
  <c r="AA35" i="4"/>
  <c r="Z32" i="7"/>
  <c r="AA32" i="6"/>
  <c r="Z5" i="5"/>
  <c r="G5" i="3"/>
  <c r="AA39" i="7"/>
  <c r="AB39" i="6"/>
  <c r="Z33" i="5"/>
  <c r="AA33" i="4"/>
  <c r="AC39" i="5"/>
  <c r="AD39" i="4"/>
  <c r="AA20" i="5"/>
  <c r="AB20" i="4"/>
  <c r="Z26" i="5"/>
  <c r="AA26" i="4"/>
  <c r="Z29" i="5"/>
  <c r="AA29" i="4"/>
  <c r="AB34" i="5"/>
  <c r="AC34" i="4"/>
  <c r="AA21" i="6"/>
  <c r="Z21" i="7"/>
  <c r="AC34" i="7" l="1"/>
  <c r="AD34" i="6"/>
  <c r="AB20" i="5"/>
  <c r="AC20" i="4"/>
  <c r="AA20" i="7"/>
  <c r="AB20" i="6"/>
  <c r="AA31" i="7"/>
  <c r="AB31" i="6"/>
  <c r="AA30" i="7"/>
  <c r="AB30" i="6"/>
  <c r="AA35" i="5"/>
  <c r="AB35" i="4"/>
  <c r="AA25" i="7"/>
  <c r="AB25" i="6"/>
  <c r="AA4" i="5"/>
  <c r="AB4" i="4"/>
  <c r="AC35" i="7"/>
  <c r="AD35" i="6"/>
  <c r="AC38" i="4"/>
  <c r="AB38" i="5"/>
  <c r="AA24" i="5"/>
  <c r="AB24" i="4"/>
  <c r="AB23" i="5"/>
  <c r="AC23" i="4"/>
  <c r="AA29" i="5"/>
  <c r="AB29" i="4"/>
  <c r="AA33" i="5"/>
  <c r="AB33" i="4"/>
  <c r="AA29" i="7"/>
  <c r="AB29" i="6"/>
  <c r="AA23" i="7"/>
  <c r="AB23" i="6"/>
  <c r="AC33" i="7"/>
  <c r="AD33" i="6"/>
  <c r="AA21" i="7"/>
  <c r="AB21" i="6"/>
  <c r="AA21" i="5"/>
  <c r="AB21" i="4"/>
  <c r="AB22" i="5"/>
  <c r="AC22" i="4"/>
  <c r="AA25" i="5"/>
  <c r="AB25" i="4"/>
  <c r="AA32" i="5"/>
  <c r="AB32" i="4"/>
  <c r="AA22" i="7"/>
  <c r="AB22" i="6"/>
  <c r="AB38" i="7"/>
  <c r="AC38" i="6"/>
  <c r="AB4" i="7"/>
  <c r="AC4" i="6"/>
  <c r="AC34" i="5"/>
  <c r="AD34" i="4"/>
  <c r="AA26" i="5"/>
  <c r="AB26" i="4"/>
  <c r="AD39" i="5"/>
  <c r="AE39" i="4"/>
  <c r="AB39" i="7"/>
  <c r="AC39" i="6"/>
  <c r="AA32" i="7"/>
  <c r="AB32" i="6"/>
  <c r="AA30" i="5"/>
  <c r="AB30" i="4"/>
  <c r="AB31" i="5"/>
  <c r="AC31" i="4"/>
  <c r="AA26" i="7"/>
  <c r="AB26" i="6"/>
  <c r="AA24" i="7"/>
  <c r="AB24" i="6"/>
  <c r="AB24" i="7" l="1"/>
  <c r="AC24" i="6"/>
  <c r="AC31" i="5"/>
  <c r="AD31" i="4"/>
  <c r="AC32" i="6"/>
  <c r="AB32" i="7"/>
  <c r="AE39" i="5"/>
  <c r="AF39" i="4"/>
  <c r="AD34" i="5"/>
  <c r="AE34" i="4"/>
  <c r="AE34" i="5" s="1"/>
  <c r="AC38" i="7"/>
  <c r="AD38" i="6"/>
  <c r="AB32" i="5"/>
  <c r="AC32" i="4"/>
  <c r="AD22" i="4"/>
  <c r="AC22" i="5"/>
  <c r="AB21" i="7"/>
  <c r="AC21" i="6"/>
  <c r="AB23" i="7"/>
  <c r="AC23" i="6"/>
  <c r="AB33" i="5"/>
  <c r="AC33" i="4"/>
  <c r="AC23" i="5"/>
  <c r="AD23" i="4"/>
  <c r="AB4" i="5"/>
  <c r="AC4" i="4"/>
  <c r="AB35" i="5"/>
  <c r="AC35" i="4"/>
  <c r="AB31" i="7"/>
  <c r="AC31" i="6"/>
  <c r="AC20" i="5"/>
  <c r="AD20" i="4"/>
  <c r="AC38" i="5"/>
  <c r="AD38" i="4"/>
  <c r="AB30" i="5"/>
  <c r="AC30" i="4"/>
  <c r="AB26" i="5"/>
  <c r="AC26" i="4"/>
  <c r="AC4" i="7"/>
  <c r="AD4" i="6"/>
  <c r="AB22" i="7"/>
  <c r="AC22" i="6"/>
  <c r="AB25" i="5"/>
  <c r="AC25" i="4"/>
  <c r="AB21" i="5"/>
  <c r="AC21" i="4"/>
  <c r="AD33" i="7"/>
  <c r="AE33" i="6"/>
  <c r="AB29" i="7"/>
  <c r="AC29" i="6"/>
  <c r="AB29" i="5"/>
  <c r="AC29" i="4"/>
  <c r="AB24" i="5"/>
  <c r="AC24" i="4"/>
  <c r="AD35" i="7"/>
  <c r="AE35" i="6"/>
  <c r="AB25" i="7"/>
  <c r="AC25" i="6"/>
  <c r="AB30" i="7"/>
  <c r="AC30" i="6"/>
  <c r="AB20" i="7"/>
  <c r="AC20" i="6"/>
  <c r="AD34" i="7"/>
  <c r="AE34" i="6"/>
  <c r="AE34" i="7" s="1"/>
  <c r="AB26" i="7"/>
  <c r="AC26" i="6"/>
  <c r="AC39" i="7"/>
  <c r="AD39" i="6"/>
  <c r="AC20" i="7" l="1"/>
  <c r="AD20" i="6"/>
  <c r="AD39" i="7"/>
  <c r="AE39" i="6"/>
  <c r="AD30" i="6"/>
  <c r="AC30" i="7"/>
  <c r="AC29" i="5"/>
  <c r="AD29" i="4"/>
  <c r="AC25" i="5"/>
  <c r="AD25" i="4"/>
  <c r="AD4" i="7"/>
  <c r="AE4" i="6"/>
  <c r="AC30" i="5"/>
  <c r="AD30" i="4"/>
  <c r="AD20" i="5"/>
  <c r="AE20" i="4"/>
  <c r="AC35" i="5"/>
  <c r="AD35" i="4"/>
  <c r="AD23" i="5"/>
  <c r="AE23" i="4"/>
  <c r="AD23" i="6"/>
  <c r="AC23" i="7"/>
  <c r="AD38" i="7"/>
  <c r="AE38" i="6"/>
  <c r="AF39" i="5"/>
  <c r="AG39" i="4"/>
  <c r="AD31" i="5"/>
  <c r="AE31" i="4"/>
  <c r="AF35" i="6"/>
  <c r="AE35" i="7"/>
  <c r="AE33" i="7"/>
  <c r="AF33" i="6"/>
  <c r="AD22" i="5"/>
  <c r="AE22" i="4"/>
  <c r="AD25" i="6"/>
  <c r="AC25" i="7"/>
  <c r="AC29" i="7"/>
  <c r="AD29" i="6"/>
  <c r="AC21" i="5"/>
  <c r="AD21" i="4"/>
  <c r="AC22" i="7"/>
  <c r="AD22" i="6"/>
  <c r="AC26" i="5"/>
  <c r="AD26" i="4"/>
  <c r="AD38" i="5"/>
  <c r="AE38" i="4"/>
  <c r="AC31" i="7"/>
  <c r="AD31" i="6"/>
  <c r="AC4" i="5"/>
  <c r="AD4" i="4"/>
  <c r="AC33" i="5"/>
  <c r="AD33" i="4"/>
  <c r="AC21" i="7"/>
  <c r="AD21" i="6"/>
  <c r="AD32" i="4"/>
  <c r="AC32" i="5"/>
  <c r="AC24" i="7"/>
  <c r="AD24" i="6"/>
  <c r="AC26" i="7"/>
  <c r="AD26" i="6"/>
  <c r="AC24" i="5"/>
  <c r="AD24" i="4"/>
  <c r="AD32" i="6"/>
  <c r="AC32" i="7"/>
  <c r="AD31" i="7" l="1"/>
  <c r="AE31" i="6"/>
  <c r="AD26" i="5"/>
  <c r="AE26" i="4"/>
  <c r="AD21" i="5"/>
  <c r="AE21" i="4"/>
  <c r="AF33" i="7"/>
  <c r="AG33" i="6"/>
  <c r="AE31" i="5"/>
  <c r="G31" i="3"/>
  <c r="AE38" i="7"/>
  <c r="AF38" i="6"/>
  <c r="AE23" i="5"/>
  <c r="AF23" i="4"/>
  <c r="AE20" i="5"/>
  <c r="AF20" i="4"/>
  <c r="AE4" i="7"/>
  <c r="AF4" i="6"/>
  <c r="AD29" i="5"/>
  <c r="AE29" i="4"/>
  <c r="AF39" i="6"/>
  <c r="AE39" i="7"/>
  <c r="AD33" i="5"/>
  <c r="AE33" i="4"/>
  <c r="AD32" i="7"/>
  <c r="AE32" i="6"/>
  <c r="AD32" i="5"/>
  <c r="AE32" i="4"/>
  <c r="AE25" i="6"/>
  <c r="AD25" i="7"/>
  <c r="AD24" i="5"/>
  <c r="AE24" i="4"/>
  <c r="AE21" i="6"/>
  <c r="AD21" i="7"/>
  <c r="AE38" i="5"/>
  <c r="AF38" i="4"/>
  <c r="AD29" i="7"/>
  <c r="AE29" i="6"/>
  <c r="AG39" i="5"/>
  <c r="AH39" i="4"/>
  <c r="AD35" i="5"/>
  <c r="AE35" i="4"/>
  <c r="AD25" i="5"/>
  <c r="AE25" i="4"/>
  <c r="AE20" i="6"/>
  <c r="AD20" i="7"/>
  <c r="AE26" i="6"/>
  <c r="AD26" i="7"/>
  <c r="AD24" i="7"/>
  <c r="AE24" i="6"/>
  <c r="AD4" i="5"/>
  <c r="AE4" i="4"/>
  <c r="AE22" i="6"/>
  <c r="AD22" i="7"/>
  <c r="AE22" i="5"/>
  <c r="AF22" i="4"/>
  <c r="AE30" i="4"/>
  <c r="AD30" i="5"/>
  <c r="AG35" i="6"/>
  <c r="AF35" i="7"/>
  <c r="AE23" i="6"/>
  <c r="AD23" i="7"/>
  <c r="AD30" i="7"/>
  <c r="AE30" i="6"/>
  <c r="AE4" i="5" l="1"/>
  <c r="AF4" i="4"/>
  <c r="AE25" i="5"/>
  <c r="AF25" i="4"/>
  <c r="AH39" i="5"/>
  <c r="AI39" i="4"/>
  <c r="AG38" i="4"/>
  <c r="AF38" i="5"/>
  <c r="AE24" i="5"/>
  <c r="AF24" i="4"/>
  <c r="AE32" i="5"/>
  <c r="AF32" i="4"/>
  <c r="G32" i="3"/>
  <c r="AE33" i="5"/>
  <c r="AF33" i="4"/>
  <c r="AE29" i="5"/>
  <c r="AF29" i="4"/>
  <c r="AF20" i="5"/>
  <c r="AG20" i="4"/>
  <c r="AF38" i="7"/>
  <c r="AG38" i="6"/>
  <c r="AG33" i="7"/>
  <c r="AH33" i="6"/>
  <c r="AE26" i="5"/>
  <c r="G26" i="3"/>
  <c r="AF22" i="5"/>
  <c r="AG22" i="4"/>
  <c r="AG35" i="7"/>
  <c r="AH35" i="6"/>
  <c r="AE26" i="7"/>
  <c r="F26" i="3"/>
  <c r="AE30" i="7"/>
  <c r="AF30" i="6"/>
  <c r="AE29" i="7"/>
  <c r="AF29" i="6"/>
  <c r="AF4" i="7"/>
  <c r="AG4" i="6"/>
  <c r="AF23" i="5"/>
  <c r="AG23" i="4"/>
  <c r="AE21" i="5"/>
  <c r="AF21" i="4"/>
  <c r="AE31" i="7"/>
  <c r="F31" i="3"/>
  <c r="I31" i="3" s="1"/>
  <c r="AE24" i="7"/>
  <c r="AF24" i="6"/>
  <c r="AE35" i="5"/>
  <c r="AF35" i="4"/>
  <c r="AE32" i="7"/>
  <c r="AF32" i="6"/>
  <c r="AE23" i="7"/>
  <c r="AF23" i="6"/>
  <c r="AE30" i="5"/>
  <c r="AF30" i="4"/>
  <c r="AE22" i="7"/>
  <c r="AF22" i="6"/>
  <c r="AE20" i="7"/>
  <c r="AF20" i="6"/>
  <c r="AE21" i="7"/>
  <c r="AF21" i="6"/>
  <c r="AE25" i="7"/>
  <c r="AF25" i="6"/>
  <c r="AF39" i="7"/>
  <c r="AG39" i="6"/>
  <c r="AF25" i="7" l="1"/>
  <c r="AG25" i="6"/>
  <c r="AF32" i="5"/>
  <c r="AG32" i="4"/>
  <c r="AF25" i="5"/>
  <c r="AG25" i="4"/>
  <c r="AG39" i="7"/>
  <c r="AH39" i="6"/>
  <c r="AF21" i="7"/>
  <c r="AG21" i="6"/>
  <c r="AF22" i="7"/>
  <c r="AG22" i="6"/>
  <c r="AF23" i="7"/>
  <c r="AG23" i="6"/>
  <c r="AF35" i="5"/>
  <c r="AG35" i="4"/>
  <c r="AG23" i="5"/>
  <c r="AH23" i="4"/>
  <c r="AF29" i="7"/>
  <c r="AG29" i="6"/>
  <c r="I26" i="3"/>
  <c r="AG22" i="5"/>
  <c r="AH22" i="4"/>
  <c r="AH33" i="7"/>
  <c r="AI33" i="6"/>
  <c r="AG20" i="5"/>
  <c r="AH20" i="4"/>
  <c r="AF33" i="5"/>
  <c r="AG33" i="4"/>
  <c r="AG38" i="5"/>
  <c r="AH38" i="4"/>
  <c r="AF24" i="5"/>
  <c r="AG24" i="4"/>
  <c r="AI39" i="5"/>
  <c r="AJ39" i="4"/>
  <c r="AF4" i="5"/>
  <c r="AG4" i="4"/>
  <c r="AF20" i="7"/>
  <c r="AG20" i="6"/>
  <c r="AF30" i="5"/>
  <c r="AG30" i="4"/>
  <c r="AG32" i="6"/>
  <c r="AF32" i="7"/>
  <c r="AF24" i="7"/>
  <c r="AG24" i="6"/>
  <c r="AF21" i="5"/>
  <c r="AG21" i="4"/>
  <c r="AG4" i="7"/>
  <c r="AH4" i="6"/>
  <c r="AF30" i="7"/>
  <c r="AG30" i="6"/>
  <c r="AH35" i="7"/>
  <c r="AI35" i="6"/>
  <c r="AG38" i="7"/>
  <c r="AH38" i="6"/>
  <c r="AF29" i="5"/>
  <c r="AG29" i="4"/>
  <c r="AH4" i="7" l="1"/>
  <c r="AI4" i="6"/>
  <c r="AH29" i="6"/>
  <c r="AG29" i="7"/>
  <c r="AH35" i="4"/>
  <c r="AG35" i="5"/>
  <c r="AG22" i="7"/>
  <c r="AH22" i="6"/>
  <c r="AH39" i="7"/>
  <c r="AI39" i="6"/>
  <c r="AH32" i="4"/>
  <c r="AG32" i="5"/>
  <c r="AI35" i="7"/>
  <c r="AJ35" i="6"/>
  <c r="AH38" i="7"/>
  <c r="AI38" i="6"/>
  <c r="AH30" i="6"/>
  <c r="AG30" i="7"/>
  <c r="AG21" i="5"/>
  <c r="AH21" i="4"/>
  <c r="AG20" i="7"/>
  <c r="AH20" i="6"/>
  <c r="AJ39" i="5"/>
  <c r="G39" i="3"/>
  <c r="AH38" i="5"/>
  <c r="AI38" i="4"/>
  <c r="AH20" i="5"/>
  <c r="AI20" i="4"/>
  <c r="AH22" i="5"/>
  <c r="AI22" i="4"/>
  <c r="AH32" i="6"/>
  <c r="AG32" i="7"/>
  <c r="AH23" i="5"/>
  <c r="AI23" i="4"/>
  <c r="AG23" i="7"/>
  <c r="AH23" i="6"/>
  <c r="AG21" i="7"/>
  <c r="AH21" i="6"/>
  <c r="AG25" i="5"/>
  <c r="AH25" i="4"/>
  <c r="AH25" i="6"/>
  <c r="AG25" i="7"/>
  <c r="AG29" i="5"/>
  <c r="AH29" i="4"/>
  <c r="AG24" i="7"/>
  <c r="AH24" i="6"/>
  <c r="AG30" i="5"/>
  <c r="AH30" i="4"/>
  <c r="AG4" i="5"/>
  <c r="AH4" i="4"/>
  <c r="AG24" i="5"/>
  <c r="AH24" i="4"/>
  <c r="AG33" i="5"/>
  <c r="AH33" i="4"/>
  <c r="AJ33" i="6"/>
  <c r="AI33" i="7"/>
  <c r="AH33" i="5" l="1"/>
  <c r="AI33" i="4"/>
  <c r="AH24" i="5"/>
  <c r="AI24" i="4"/>
  <c r="AH29" i="5"/>
  <c r="AI29" i="4"/>
  <c r="AI23" i="6"/>
  <c r="AH23" i="7"/>
  <c r="AI20" i="5"/>
  <c r="AJ20" i="4"/>
  <c r="AH21" i="5"/>
  <c r="AI21" i="4"/>
  <c r="AI38" i="7"/>
  <c r="AJ38" i="6"/>
  <c r="AI22" i="6"/>
  <c r="AH22" i="7"/>
  <c r="AI30" i="4"/>
  <c r="AH30" i="5"/>
  <c r="AH25" i="5"/>
  <c r="AI25" i="4"/>
  <c r="AJ33" i="7"/>
  <c r="F33" i="3"/>
  <c r="AH32" i="7"/>
  <c r="AI32" i="6"/>
  <c r="AH32" i="5"/>
  <c r="AI32" i="4"/>
  <c r="AI29" i="6"/>
  <c r="AH29" i="7"/>
  <c r="AH4" i="5"/>
  <c r="AI4" i="4"/>
  <c r="AI24" i="6"/>
  <c r="AH24" i="7"/>
  <c r="AH21" i="7"/>
  <c r="AI21" i="6"/>
  <c r="AI23" i="5"/>
  <c r="AJ23" i="4"/>
  <c r="AI22" i="5"/>
  <c r="AJ22" i="4"/>
  <c r="AI38" i="5"/>
  <c r="AJ38" i="4"/>
  <c r="AI20" i="6"/>
  <c r="AH20" i="7"/>
  <c r="AJ35" i="7"/>
  <c r="F35" i="3"/>
  <c r="AJ39" i="6"/>
  <c r="AI39" i="7"/>
  <c r="AI4" i="7"/>
  <c r="AJ4" i="6"/>
  <c r="AI25" i="6"/>
  <c r="AH25" i="7"/>
  <c r="AH30" i="7"/>
  <c r="AI30" i="6"/>
  <c r="AH35" i="5"/>
  <c r="AI35" i="4"/>
  <c r="AJ4" i="7" l="1"/>
  <c r="F4" i="3"/>
  <c r="AJ38" i="5"/>
  <c r="G38" i="3"/>
  <c r="AJ23" i="5"/>
  <c r="G23" i="3"/>
  <c r="AI32" i="7"/>
  <c r="AJ32" i="6"/>
  <c r="AI25" i="5"/>
  <c r="AJ25" i="4"/>
  <c r="AI21" i="5"/>
  <c r="AJ21" i="4"/>
  <c r="AI24" i="5"/>
  <c r="AJ24" i="4"/>
  <c r="AI29" i="7"/>
  <c r="AJ29" i="6"/>
  <c r="AI22" i="7"/>
  <c r="AJ22" i="6"/>
  <c r="AI23" i="7"/>
  <c r="AJ23" i="6"/>
  <c r="AI30" i="7"/>
  <c r="AJ30" i="6"/>
  <c r="AI24" i="7"/>
  <c r="AJ24" i="6"/>
  <c r="AJ22" i="5"/>
  <c r="G22" i="3"/>
  <c r="AI21" i="7"/>
  <c r="AJ21" i="6"/>
  <c r="AI4" i="5"/>
  <c r="AJ4" i="4"/>
  <c r="AI32" i="5"/>
  <c r="AJ32" i="4"/>
  <c r="AJ32" i="5" s="1"/>
  <c r="AJ38" i="7"/>
  <c r="F38" i="3"/>
  <c r="I38" i="3" s="1"/>
  <c r="AJ20" i="5"/>
  <c r="G20" i="3"/>
  <c r="AI29" i="5"/>
  <c r="AJ29" i="4"/>
  <c r="AI33" i="5"/>
  <c r="AJ33" i="4"/>
  <c r="AI35" i="5"/>
  <c r="AJ35" i="4"/>
  <c r="AI25" i="7"/>
  <c r="AJ25" i="6"/>
  <c r="AJ39" i="7"/>
  <c r="F39" i="3"/>
  <c r="I39" i="3" s="1"/>
  <c r="AI20" i="7"/>
  <c r="AJ20" i="6"/>
  <c r="AI30" i="5"/>
  <c r="AJ30" i="4"/>
  <c r="AJ30" i="5" l="1"/>
  <c r="G30" i="3"/>
  <c r="AJ35" i="5"/>
  <c r="G35" i="3"/>
  <c r="I35" i="3" s="1"/>
  <c r="AJ21" i="7"/>
  <c r="F21" i="3"/>
  <c r="AJ24" i="7"/>
  <c r="F24" i="3"/>
  <c r="AJ23" i="7"/>
  <c r="F23" i="3"/>
  <c r="I23" i="3" s="1"/>
  <c r="AJ29" i="7"/>
  <c r="F29" i="3"/>
  <c r="AJ21" i="5"/>
  <c r="G21" i="3"/>
  <c r="AJ32" i="7"/>
  <c r="F32" i="3"/>
  <c r="I32" i="3" s="1"/>
  <c r="AJ29" i="5"/>
  <c r="G29" i="3"/>
  <c r="AJ20" i="7"/>
  <c r="F20" i="3"/>
  <c r="I20" i="3" s="1"/>
  <c r="AJ4" i="5"/>
  <c r="G4" i="3"/>
  <c r="AJ22" i="7"/>
  <c r="F22" i="3"/>
  <c r="I22" i="3" s="1"/>
  <c r="AJ24" i="5"/>
  <c r="G24" i="3"/>
  <c r="AJ25" i="5"/>
  <c r="G25" i="3"/>
  <c r="I4" i="3"/>
  <c r="AJ25" i="7"/>
  <c r="F25" i="3"/>
  <c r="AJ30" i="7"/>
  <c r="F30" i="3"/>
  <c r="I30" i="3" s="1"/>
  <c r="AJ33" i="5"/>
  <c r="G33" i="3"/>
  <c r="I33" i="3" s="1"/>
  <c r="I29" i="3" l="1"/>
  <c r="I24" i="3"/>
  <c r="I25" i="3"/>
  <c r="I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in units</t>
        </r>
      </text>
    </comment>
    <comment ref="V1" authorId="0" shapeId="0" xr:uid="{00000000-0006-0000-0000-000003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1" authorId="0" shapeId="0" xr:uid="{00000000-0006-0000-0000-000004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1" authorId="0" shapeId="0" xr:uid="{00000000-0006-0000-0000-000005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1" authorId="0" shapeId="0" xr:uid="{00000000-0006-0000-0000-000006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1" authorId="0" shapeId="0" xr:uid="{00000000-0006-0000-0000-000007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1" authorId="0" shapeId="0" xr:uid="{00000000-0006-0000-0000-000008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1" authorId="0" shapeId="0" xr:uid="{00000000-0006-0000-0000-000009000000}">
      <text>
        <r>
          <rPr>
            <sz val="10"/>
            <color rgb="FF000000"/>
            <rFont val="Arial"/>
          </rPr>
          <t>Amount of horizontal recoil</t>
        </r>
      </text>
    </comment>
    <comment ref="AE1" authorId="0" shapeId="0" xr:uid="{00000000-0006-0000-0000-00000A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1" authorId="0" shapeId="0" xr:uid="{00000000-0006-0000-0000-00000B000000}">
      <text>
        <r>
          <rPr>
            <sz val="10"/>
            <color rgb="FF000000"/>
            <rFont val="Arial"/>
          </rPr>
          <t>in units</t>
        </r>
      </text>
    </comment>
    <comment ref="AH1" authorId="0" shapeId="0" xr:uid="{00000000-0006-0000-0000-00000C000000}">
      <text>
        <r>
          <rPr>
            <sz val="10"/>
            <color rgb="FF000000"/>
            <rFont val="Arial"/>
          </rPr>
          <t>in units</t>
        </r>
      </text>
    </comment>
    <comment ref="I3" authorId="0" shapeId="0" xr:uid="{00000000-0006-0000-0000-00000D000000}">
      <text>
        <r>
          <rPr>
            <sz val="10"/>
            <color rgb="FF000000"/>
            <rFont val="Arial"/>
          </rPr>
          <t>0.4 seconds to charge
This RPM is incorrect as there appears to be a delay after firing before the cycletime timer starts.</t>
        </r>
      </text>
    </comment>
    <comment ref="M3" authorId="0" shapeId="0" xr:uid="{00000000-0006-0000-0000-00000E000000}">
      <text>
        <r>
          <rPr>
            <sz val="10"/>
            <color rgb="FF000000"/>
            <rFont val="Arial"/>
          </rPr>
          <t>Player moves at 220 unless left click is held.</t>
        </r>
      </text>
    </comment>
    <comment ref="R3" authorId="0" shapeId="0" xr:uid="{00000000-0006-0000-0000-00000F000000}">
      <text>
        <r>
          <rPr>
            <sz val="10"/>
            <color rgb="FF000000"/>
            <rFont val="Arial"/>
          </rPr>
          <t>Due to inaccuracy decay when charging the best Accurate Range is:
128 Tick: 18.77m
64 Tick: 18.51m</t>
        </r>
      </text>
    </comment>
    <comment ref="S3" authorId="0" shapeId="0" xr:uid="{00000000-0006-0000-0000-000010000000}">
      <text>
        <r>
          <rPr>
            <sz val="10"/>
            <color rgb="FF000000"/>
            <rFont val="Arial"/>
          </rPr>
          <t>Due to inaccuracy decay when charging the best Accurate Range is:
128 Tick: 44.58m
64 Tick: 43.95m</t>
        </r>
      </text>
    </comment>
    <comment ref="T3" authorId="0" shapeId="0" xr:uid="{00000000-0006-0000-0000-000011000000}">
      <text>
        <r>
          <rPr>
            <sz val="10"/>
            <color rgb="FF000000"/>
            <rFont val="Arial"/>
          </rPr>
          <t>Due to inaccuracy decay when charging the best inaccuracy is:
128 Tick: 8.12
64 Tick: 8.23</t>
        </r>
      </text>
    </comment>
    <comment ref="U3" authorId="0" shapeId="0" xr:uid="{00000000-0006-0000-0000-000012000000}">
      <text>
        <r>
          <rPr>
            <sz val="10"/>
            <color rgb="FF000000"/>
            <rFont val="Arial"/>
          </rPr>
          <t>Due to inaccuracy decay when charging the best inaccuracy is:
128 Tick: 3.42
64 Tick: 3.47</t>
        </r>
      </text>
    </comment>
    <comment ref="V3" authorId="0" shapeId="0" xr:uid="{00000000-0006-0000-0000-000013000000}">
      <text>
        <r>
          <rPr>
            <sz val="10"/>
            <color rgb="FF000000"/>
            <rFont val="Arial"/>
          </rPr>
          <t>Due to inaccuracy decay when charging the best inaccuracy is:
128 Tick: 14.62
64 Tick: 14.73</t>
        </r>
      </text>
    </comment>
    <comment ref="I8" authorId="0" shapeId="0" xr:uid="{00000000-0006-0000-0000-000014000000}">
      <text>
        <r>
          <rPr>
            <sz val="10"/>
            <color rgb="FF000000"/>
            <rFont val="Arial"/>
          </rPr>
          <t>0.50 seconds between each 3-bullet burst
0.05 seconds between shots within a burst
Sustained firerate of 360 RPM</t>
        </r>
      </text>
    </comment>
    <comment ref="P8" authorId="0" shapeId="0" xr:uid="{00000000-0006-0000-0000-000015000000}">
      <text>
        <r>
          <rPr>
            <sz val="10"/>
            <color rgb="FF000000"/>
            <rFont val="Arial"/>
          </rPr>
          <t>Burst fire shots fire automatically after fire is pressed once.  Fire must be pressed for each burst.</t>
        </r>
      </text>
    </comment>
    <comment ref="G16" authorId="0" shapeId="0" xr:uid="{00000000-0006-0000-0000-000016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16" authorId="0" shapeId="0" xr:uid="{00000000-0006-0000-0000-000017000000}">
      <text>
        <r>
          <rPr>
            <sz val="10"/>
            <color rgb="FF000000"/>
            <rFont val="Arial"/>
          </rPr>
          <t>in units</t>
        </r>
      </text>
    </comment>
    <comment ref="V16" authorId="0" shapeId="0" xr:uid="{00000000-0006-0000-0000-000018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16" authorId="0" shapeId="0" xr:uid="{00000000-0006-0000-0000-000019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16" authorId="0" shapeId="0" xr:uid="{00000000-0006-0000-0000-00001A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16" authorId="0" shapeId="0" xr:uid="{00000000-0006-0000-0000-00001B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16" authorId="0" shapeId="0" xr:uid="{00000000-0006-0000-0000-00001C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16" authorId="0" shapeId="0" xr:uid="{00000000-0006-0000-0000-00001D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16" authorId="0" shapeId="0" xr:uid="{00000000-0006-0000-0000-00001E000000}">
      <text>
        <r>
          <rPr>
            <sz val="10"/>
            <color rgb="FF000000"/>
            <rFont val="Arial"/>
          </rPr>
          <t>Amount of horizontal recoil</t>
        </r>
      </text>
    </comment>
    <comment ref="AE16" authorId="0" shapeId="0" xr:uid="{00000000-0006-0000-0000-00001F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16" authorId="0" shapeId="0" xr:uid="{00000000-0006-0000-0000-000020000000}">
      <text>
        <r>
          <rPr>
            <sz val="10"/>
            <color rgb="FF000000"/>
            <rFont val="Arial"/>
          </rPr>
          <t>in units</t>
        </r>
      </text>
    </comment>
    <comment ref="AH16" authorId="0" shapeId="0" xr:uid="{00000000-0006-0000-0000-000021000000}">
      <text>
        <r>
          <rPr>
            <sz val="10"/>
            <color rgb="FF000000"/>
            <rFont val="Arial"/>
          </rPr>
          <t>in units</t>
        </r>
      </text>
    </comment>
    <comment ref="T17" authorId="0" shapeId="0" xr:uid="{00000000-0006-0000-0000-000022000000}">
      <text>
        <r>
          <rPr>
            <sz val="10"/>
            <color rgb="FF000000"/>
            <rFont val="Arial"/>
          </rPr>
          <t>Shotgun cone is 40</t>
        </r>
      </text>
    </comment>
    <comment ref="AG17" authorId="0" shapeId="0" xr:uid="{00000000-0006-0000-0000-000023000000}">
      <text>
        <r>
          <rPr>
            <sz val="10"/>
            <color rgb="FF000000"/>
            <rFont val="Arial"/>
          </rPr>
          <t>one pellet</t>
        </r>
      </text>
    </comment>
    <comment ref="T18" authorId="0" shapeId="0" xr:uid="{00000000-0006-0000-0000-000024000000}">
      <text>
        <r>
          <rPr>
            <sz val="10"/>
            <color rgb="FF000000"/>
            <rFont val="Arial"/>
          </rPr>
          <t>Shotgun cone is 40</t>
        </r>
      </text>
    </comment>
    <comment ref="AG18" authorId="0" shapeId="0" xr:uid="{00000000-0006-0000-0000-000025000000}">
      <text>
        <r>
          <rPr>
            <sz val="10"/>
            <color rgb="FF000000"/>
            <rFont val="Arial"/>
          </rPr>
          <t>one pellet</t>
        </r>
      </text>
    </comment>
    <comment ref="T19" authorId="0" shapeId="0" xr:uid="{00000000-0006-0000-0000-000026000000}">
      <text>
        <r>
          <rPr>
            <sz val="10"/>
            <color rgb="FF000000"/>
            <rFont val="Arial"/>
          </rPr>
          <t>Shotgun cone is 62</t>
        </r>
      </text>
    </comment>
    <comment ref="AG19" authorId="0" shapeId="0" xr:uid="{00000000-0006-0000-0000-000027000000}">
      <text>
        <r>
          <rPr>
            <sz val="10"/>
            <color rgb="FF000000"/>
            <rFont val="Arial"/>
          </rPr>
          <t>one pellet</t>
        </r>
      </text>
    </comment>
    <comment ref="T20" authorId="0" shapeId="0" xr:uid="{00000000-0006-0000-0000-000028000000}">
      <text>
        <r>
          <rPr>
            <sz val="10"/>
            <color rgb="FF000000"/>
            <rFont val="Arial"/>
          </rPr>
          <t>Shotgun cone is 38</t>
        </r>
      </text>
    </comment>
    <comment ref="AG20" authorId="0" shapeId="0" xr:uid="{00000000-0006-0000-0000-000029000000}">
      <text>
        <r>
          <rPr>
            <sz val="10"/>
            <color rgb="FF000000"/>
            <rFont val="Arial"/>
          </rPr>
          <t>one pellet</t>
        </r>
      </text>
    </comment>
    <comment ref="G22" authorId="0" shapeId="0" xr:uid="{00000000-0006-0000-0000-00002A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22" authorId="0" shapeId="0" xr:uid="{00000000-0006-0000-0000-00002B000000}">
      <text>
        <r>
          <rPr>
            <sz val="10"/>
            <color rgb="FF000000"/>
            <rFont val="Arial"/>
          </rPr>
          <t>in units</t>
        </r>
      </text>
    </comment>
    <comment ref="V22" authorId="0" shapeId="0" xr:uid="{00000000-0006-0000-0000-00002C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22" authorId="0" shapeId="0" xr:uid="{00000000-0006-0000-0000-00002D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22" authorId="0" shapeId="0" xr:uid="{00000000-0006-0000-0000-00002E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22" authorId="0" shapeId="0" xr:uid="{00000000-0006-0000-0000-00002F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22" authorId="0" shapeId="0" xr:uid="{00000000-0006-0000-0000-000030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22" authorId="0" shapeId="0" xr:uid="{00000000-0006-0000-0000-000031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22" authorId="0" shapeId="0" xr:uid="{00000000-0006-0000-0000-000032000000}">
      <text>
        <r>
          <rPr>
            <sz val="10"/>
            <color rgb="FF000000"/>
            <rFont val="Arial"/>
          </rPr>
          <t>Amount of horizontal recoil</t>
        </r>
      </text>
    </comment>
    <comment ref="AE22" authorId="0" shapeId="0" xr:uid="{00000000-0006-0000-0000-000033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22" authorId="0" shapeId="0" xr:uid="{00000000-0006-0000-0000-000034000000}">
      <text>
        <r>
          <rPr>
            <sz val="10"/>
            <color rgb="FF000000"/>
            <rFont val="Arial"/>
          </rPr>
          <t>in units</t>
        </r>
      </text>
    </comment>
    <comment ref="AH22" authorId="0" shapeId="0" xr:uid="{00000000-0006-0000-0000-000035000000}">
      <text>
        <r>
          <rPr>
            <sz val="10"/>
            <color rgb="FF000000"/>
            <rFont val="Arial"/>
          </rPr>
          <t>in units</t>
        </r>
      </text>
    </comment>
    <comment ref="G31" authorId="0" shapeId="0" xr:uid="{00000000-0006-0000-0000-000036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31" authorId="0" shapeId="0" xr:uid="{00000000-0006-0000-0000-000037000000}">
      <text>
        <r>
          <rPr>
            <sz val="10"/>
            <color rgb="FF000000"/>
            <rFont val="Arial"/>
          </rPr>
          <t>in units</t>
        </r>
      </text>
    </comment>
    <comment ref="V31" authorId="0" shapeId="0" xr:uid="{00000000-0006-0000-0000-000038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31" authorId="0" shapeId="0" xr:uid="{00000000-0006-0000-0000-000039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31" authorId="0" shapeId="0" xr:uid="{00000000-0006-0000-0000-00003A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31" authorId="0" shapeId="0" xr:uid="{00000000-0006-0000-0000-00003B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31" authorId="0" shapeId="0" xr:uid="{00000000-0006-0000-0000-00003C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31" authorId="0" shapeId="0" xr:uid="{00000000-0006-0000-0000-00003D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31" authorId="0" shapeId="0" xr:uid="{00000000-0006-0000-0000-00003E000000}">
      <text>
        <r>
          <rPr>
            <sz val="10"/>
            <color rgb="FF000000"/>
            <rFont val="Arial"/>
          </rPr>
          <t>Amount of horizontal recoil</t>
        </r>
      </text>
    </comment>
    <comment ref="AE31" authorId="0" shapeId="0" xr:uid="{00000000-0006-0000-0000-00003F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31" authorId="0" shapeId="0" xr:uid="{00000000-0006-0000-0000-000040000000}">
      <text>
        <r>
          <rPr>
            <sz val="10"/>
            <color rgb="FF000000"/>
            <rFont val="Arial"/>
          </rPr>
          <t>in units</t>
        </r>
      </text>
    </comment>
    <comment ref="AH31" authorId="0" shapeId="0" xr:uid="{00000000-0006-0000-0000-000041000000}">
      <text>
        <r>
          <rPr>
            <sz val="10"/>
            <color rgb="FF000000"/>
            <rFont val="Arial"/>
          </rPr>
          <t>in units</t>
        </r>
      </text>
    </comment>
    <comment ref="I36" authorId="0" shapeId="0" xr:uid="{00000000-0006-0000-0000-000042000000}">
      <text>
        <r>
          <rPr>
            <sz val="10"/>
            <color rgb="FF000000"/>
            <rFont val="Arial"/>
          </rPr>
          <t>0.55 seconds between each 3-bullet burst
0.08 seconds between shots within a burst
Sustained fire rate of 327 RPM</t>
        </r>
      </text>
    </comment>
    <comment ref="P36" authorId="0" shapeId="0" xr:uid="{00000000-0006-0000-0000-000043000000}">
      <text>
        <r>
          <rPr>
            <sz val="10"/>
            <color rgb="FF000000"/>
            <rFont val="Arial"/>
          </rPr>
          <t>Burst fire shots fire automatically after fire is pressed once.  Fire must be pressed for each burst.</t>
        </r>
      </text>
    </comment>
    <comment ref="G44" authorId="0" shapeId="0" xr:uid="{00000000-0006-0000-0000-000044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44" authorId="0" shapeId="0" xr:uid="{00000000-0006-0000-0000-000045000000}">
      <text>
        <r>
          <rPr>
            <sz val="10"/>
            <color rgb="FF000000"/>
            <rFont val="Arial"/>
          </rPr>
          <t>in units</t>
        </r>
      </text>
    </comment>
    <comment ref="V44" authorId="0" shapeId="0" xr:uid="{00000000-0006-0000-0000-000046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44" authorId="0" shapeId="0" xr:uid="{00000000-0006-0000-0000-000047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44" authorId="0" shapeId="0" xr:uid="{00000000-0006-0000-0000-000048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44" authorId="0" shapeId="0" xr:uid="{00000000-0006-0000-0000-000049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44" authorId="0" shapeId="0" xr:uid="{00000000-0006-0000-0000-00004A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44" authorId="0" shapeId="0" xr:uid="{00000000-0006-0000-0000-00004B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44" authorId="0" shapeId="0" xr:uid="{00000000-0006-0000-0000-00004C000000}">
      <text>
        <r>
          <rPr>
            <sz val="10"/>
            <color rgb="FF000000"/>
            <rFont val="Arial"/>
          </rPr>
          <t>Amount of horizontal recoil</t>
        </r>
      </text>
    </comment>
    <comment ref="AE44" authorId="0" shapeId="0" xr:uid="{00000000-0006-0000-0000-00004D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44" authorId="0" shapeId="0" xr:uid="{00000000-0006-0000-0000-00004E000000}">
      <text>
        <r>
          <rPr>
            <sz val="10"/>
            <color rgb="FF000000"/>
            <rFont val="Arial"/>
          </rPr>
          <t>in units</t>
        </r>
      </text>
    </comment>
    <comment ref="AH44" authorId="0" shapeId="0" xr:uid="{00000000-0006-0000-0000-00004F000000}">
      <text>
        <r>
          <rPr>
            <sz val="10"/>
            <color rgb="FF000000"/>
            <rFont val="Arial"/>
          </rPr>
          <t>in units</t>
        </r>
      </text>
    </comment>
    <comment ref="G48" authorId="0" shapeId="0" xr:uid="{00000000-0006-0000-0000-000050000000}">
      <text>
        <r>
          <rPr>
            <sz val="10"/>
            <color rgb="FF000000"/>
            <rFont val="Arial"/>
          </rPr>
          <t>Percent of damage lost at 500 units.
Damage is multiplied by 'RangeModifier ^ (Distance(u)/500u)'</t>
        </r>
      </text>
    </comment>
    <comment ref="O48" authorId="0" shapeId="0" xr:uid="{00000000-0006-0000-0000-000051000000}">
      <text>
        <r>
          <rPr>
            <sz val="10"/>
            <color rgb="FF000000"/>
            <rFont val="Arial"/>
          </rPr>
          <t>in units</t>
        </r>
      </text>
    </comment>
    <comment ref="V48" authorId="0" shapeId="0" xr:uid="{00000000-0006-0000-0000-000052000000}">
      <text>
        <r>
          <rPr>
            <sz val="10"/>
            <color rgb="FF000000"/>
            <rFont val="Arial"/>
          </rPr>
          <t>Running at full speed for that weapon.</t>
        </r>
      </text>
    </comment>
    <comment ref="Y48" authorId="0" shapeId="0" xr:uid="{00000000-0006-0000-0000-000053000000}">
      <text>
        <r>
          <rPr>
            <sz val="10"/>
            <color rgb="FF000000"/>
            <rFont val="Arial"/>
          </rPr>
          <t>Approximately 0.333 seconds after landing.  Inaccuracy is worst as soon as the player lands.</t>
        </r>
      </text>
    </comment>
    <comment ref="Z48" authorId="0" shapeId="0" xr:uid="{00000000-0006-0000-0000-000054000000}">
      <text>
        <r>
          <rPr>
            <sz val="10"/>
            <color rgb="FF000000"/>
            <rFont val="Arial"/>
          </rPr>
          <t>See Firing Inaccuracy (Standing) and Firing Inaccuracy (Crouching) sheets for the amount of inaccuracy added for each shot when spraying</t>
        </r>
      </text>
    </comment>
    <comment ref="AA48" authorId="0" shapeId="0" xr:uid="{00000000-0006-0000-0000-000055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
‘Inacc * (0.1 ^ (time/RecoveryTime))’</t>
        </r>
      </text>
    </comment>
    <comment ref="AB48" authorId="0" shapeId="0" xr:uid="{00000000-0006-0000-0000-000056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
‘Inacc * (0.1 ^ (time/RecoveryTime))’</t>
        </r>
      </text>
    </comment>
    <comment ref="AC48" authorId="0" shapeId="0" xr:uid="{00000000-0006-0000-0000-000057000000}">
      <text>
        <r>
          <rPr>
            <sz val="10"/>
            <color rgb="FF000000"/>
            <rFont val="Arial"/>
          </rPr>
          <t>raw amount of recoil per shot, does not take into account any other factors such as recoil pattern, fire rate, recoil angles, or variance</t>
        </r>
      </text>
    </comment>
    <comment ref="AD48" authorId="0" shapeId="0" xr:uid="{00000000-0006-0000-0000-000058000000}">
      <text>
        <r>
          <rPr>
            <sz val="10"/>
            <color rgb="FF000000"/>
            <rFont val="Arial"/>
          </rPr>
          <t>Amount of horizontal recoil</t>
        </r>
      </text>
    </comment>
    <comment ref="AE48" authorId="0" shapeId="0" xr:uid="{00000000-0006-0000-0000-000059000000}">
      <text>
        <r>
          <rPr>
            <sz val="10"/>
            <color rgb="FF000000"/>
            <rFont val="Arial"/>
          </rPr>
          <t>amount the recoil amount can vary by.  If spraying using a set recoil pattern, the pattern will never vary.  The amount of recoil per shot in a pattern is already set.</t>
        </r>
      </text>
    </comment>
    <comment ref="AG48" authorId="0" shapeId="0" xr:uid="{00000000-0006-0000-0000-00005A000000}">
      <text>
        <r>
          <rPr>
            <sz val="10"/>
            <color rgb="FF000000"/>
            <rFont val="Arial"/>
          </rPr>
          <t>in units</t>
        </r>
      </text>
    </comment>
    <comment ref="AH48" authorId="0" shapeId="0" xr:uid="{00000000-0006-0000-0000-00005B000000}">
      <text>
        <r>
          <rPr>
            <sz val="10"/>
            <color rgb="FF000000"/>
            <rFont val="Arial"/>
          </rPr>
          <t>in units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900-000001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1" authorId="0" shapeId="0" xr:uid="{00000000-0006-0000-0900-000002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" authorId="0" shapeId="0" xr:uid="{00000000-0006-0000-0900-000003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900-000004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900-000005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900-000006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900-000007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900-000008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900-000009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900-00000A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900-00000B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900-00000C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900-00000D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13" authorId="0" shapeId="0" xr:uid="{00000000-0006-0000-0900-00000E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14" authorId="0" shapeId="0" xr:uid="{00000000-0006-0000-0900-00000F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900-000010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900-000011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900-000012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900-000013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19" authorId="0" shapeId="0" xr:uid="{00000000-0006-0000-0900-000014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0" authorId="0" shapeId="0" xr:uid="{00000000-0006-0000-0900-000015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900-000016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900-000017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900-000018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900-000019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900-00001A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900-00001B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28" authorId="0" shapeId="0" xr:uid="{00000000-0006-0000-0900-00001D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9" authorId="0" shapeId="0" xr:uid="{00000000-0006-0000-0900-00001E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900-00001F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900-000020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900-000021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900-000022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900-000023000000}">
      <text>
        <r>
          <rPr>
            <sz val="10"/>
            <color rgb="FF000000"/>
            <rFont val="Arial"/>
          </rPr>
          <t>M4A1-S</t>
        </r>
      </text>
    </comment>
    <comment ref="A35" authorId="0" shapeId="0" xr:uid="{00000000-0006-0000-0900-000024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900-000025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37" authorId="0" shapeId="0" xr:uid="{00000000-0006-0000-0900-000026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38" authorId="0" shapeId="0" xr:uid="{00000000-0006-0000-0900-000027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900-000028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900-000029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C41" authorId="0" shapeId="0" xr:uid="{00000000-0006-0000-0900-00002A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42" authorId="0" shapeId="0" xr:uid="{00000000-0006-0000-0900-00002B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900-00002C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900-00002D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900-00002E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" authorId="0" shapeId="0" xr:uid="{00000000-0006-0000-0A00-000003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" authorId="0" shapeId="0" xr:uid="{00000000-0006-0000-0A00-000004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A00-000005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A00-000006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A00-000007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A00-000008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A00-000009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A00-00000A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A00-00000B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A00-00000C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A00-00000D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A00-00000E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3" authorId="0" shapeId="0" xr:uid="{00000000-0006-0000-0A00-00000F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3" authorId="0" shapeId="0" xr:uid="{00000000-0006-0000-0A00-000010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14" authorId="0" shapeId="0" xr:uid="{00000000-0006-0000-0A00-000011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A00-000012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A00-000013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A00-000014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A00-000015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9" authorId="0" shapeId="0" xr:uid="{00000000-0006-0000-0A00-000016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9" authorId="0" shapeId="0" xr:uid="{00000000-0006-0000-0A00-000017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0" authorId="0" shapeId="0" xr:uid="{00000000-0006-0000-0A00-000018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A00-000019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A00-00001A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A00-00001B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A00-00001C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A00-00001D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A00-00001E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A00-00001F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28" authorId="0" shapeId="0" xr:uid="{00000000-0006-0000-0A00-000020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28" authorId="0" shapeId="0" xr:uid="{00000000-0006-0000-0A00-000021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29" authorId="0" shapeId="0" xr:uid="{00000000-0006-0000-0A00-000022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A00-000023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A00-000024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A00-000025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A00-000026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A00-000027000000}">
      <text>
        <r>
          <rPr>
            <sz val="10"/>
            <color rgb="FF000000"/>
            <rFont val="Arial"/>
          </rPr>
          <t>M4A1-S</t>
        </r>
      </text>
    </comment>
    <comment ref="A35" authorId="0" shapeId="0" xr:uid="{00000000-0006-0000-0A00-000028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A00-000029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37" authorId="0" shapeId="0" xr:uid="{00000000-0006-0000-0A00-00002A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37" authorId="0" shapeId="0" xr:uid="{00000000-0006-0000-0A00-00002B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38" authorId="0" shapeId="0" xr:uid="{00000000-0006-0000-0A00-00002C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A00-00002D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A00-00002E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41" authorId="0" shapeId="0" xr:uid="{00000000-0006-0000-0A00-00002F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41" authorId="0" shapeId="0" xr:uid="{00000000-0006-0000-0A00-000030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A42" authorId="0" shapeId="0" xr:uid="{00000000-0006-0000-0A00-000031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A00-000032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A00-000033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A00-000034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B00-000001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" authorId="0" shapeId="0" xr:uid="{00000000-0006-0000-0B00-000002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" authorId="0" shapeId="0" xr:uid="{00000000-0006-0000-0B00-000003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1" authorId="0" shapeId="0" xr:uid="{00000000-0006-0000-0B00-000004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2" authorId="0" shapeId="0" xr:uid="{00000000-0006-0000-0B00-000005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B00-000006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B00-000007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B00-000008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B00-000009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B00-00000A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B00-00000B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B00-00000C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B00-00000D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B00-00000E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B00-00000F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3" authorId="0" shapeId="0" xr:uid="{00000000-0006-0000-0B00-000010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3" authorId="0" shapeId="0" xr:uid="{00000000-0006-0000-0B00-000011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13" authorId="0" shapeId="0" xr:uid="{00000000-0006-0000-0B00-000012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14" authorId="0" shapeId="0" xr:uid="{00000000-0006-0000-0B00-000013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B00-000014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B00-000015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B00-000016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B00-000017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19" authorId="0" shapeId="0" xr:uid="{00000000-0006-0000-0B00-000018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19" authorId="0" shapeId="0" xr:uid="{00000000-0006-0000-0B00-000019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19" authorId="0" shapeId="0" xr:uid="{00000000-0006-0000-0B00-00001A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20" authorId="0" shapeId="0" xr:uid="{00000000-0006-0000-0B00-00001B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B00-00001C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B00-00001D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B00-00001E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B00-00001F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B00-000020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B00-000021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B00-000022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28" authorId="0" shapeId="0" xr:uid="{00000000-0006-0000-0B00-000023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28" authorId="0" shapeId="0" xr:uid="{00000000-0006-0000-0B00-000024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28" authorId="0" shapeId="0" xr:uid="{00000000-0006-0000-0B00-000025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29" authorId="0" shapeId="0" xr:uid="{00000000-0006-0000-0B00-000026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B00-000027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B00-000028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B00-000029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B00-00002A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B00-00002B000000}">
      <text>
        <r>
          <rPr>
            <sz val="10"/>
            <color rgb="FF000000"/>
            <rFont val="Arial"/>
          </rPr>
          <t>M4A1-S</t>
        </r>
      </text>
    </comment>
    <comment ref="A35" authorId="0" shapeId="0" xr:uid="{00000000-0006-0000-0B00-00002C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B00-00002D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37" authorId="0" shapeId="0" xr:uid="{00000000-0006-0000-0B00-00002E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37" authorId="0" shapeId="0" xr:uid="{00000000-0006-0000-0B00-00002F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37" authorId="0" shapeId="0" xr:uid="{00000000-0006-0000-0B00-000030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38" authorId="0" shapeId="0" xr:uid="{00000000-0006-0000-0B00-000031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B00-000032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B00-000033000000}">
      <text>
        <r>
          <rPr>
            <sz val="10"/>
            <color rgb="FF000000"/>
            <rFont val="Arial"/>
          </rPr>
          <t>Damage against armoured opponents is multiplied by 'ArmorRatio'/2</t>
        </r>
      </text>
    </comment>
    <comment ref="C41" authorId="0" shapeId="0" xr:uid="{00000000-0006-0000-0B00-000034000000}">
      <text>
        <r>
          <rPr>
            <sz val="10"/>
            <color rgb="FF000000"/>
            <rFont val="Arial"/>
          </rPr>
          <t>amount of damage inficted before any modifiers</t>
        </r>
      </text>
    </comment>
    <comment ref="D41" authorId="0" shapeId="0" xr:uid="{00000000-0006-0000-0B00-000035000000}">
      <text>
        <r>
          <rPr>
            <sz val="10"/>
            <color rgb="FF000000"/>
            <rFont val="Arial"/>
          </rPr>
          <t>'Damage' * (RangeModifier ^ (Distance/500u)) = Damage</t>
        </r>
      </text>
    </comment>
    <comment ref="E41" authorId="0" shapeId="0" xr:uid="{00000000-0006-0000-0B00-000036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42" authorId="0" shapeId="0" xr:uid="{00000000-0006-0000-0B00-000037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B00-000038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B00-000039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B00-00003A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1" authorId="0" shapeId="0" xr:uid="{00000000-0006-0000-0100-000004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1" authorId="0" shapeId="0" xr:uid="{00000000-0006-0000-0100-000005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1" authorId="0" shapeId="0" xr:uid="{00000000-0006-0000-0100-000006000000}">
      <text>
        <r>
          <rPr>
            <sz val="10"/>
            <color rgb="FF000000"/>
            <rFont val="Arial"/>
          </rPr>
          <t>penetration capability</t>
        </r>
      </text>
    </comment>
    <comment ref="I1" authorId="0" shapeId="0" xr:uid="{00000000-0006-0000-0100-000007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1" authorId="0" shapeId="0" xr:uid="{00000000-0006-0000-0100-000008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1" authorId="0" shapeId="0" xr:uid="{00000000-0006-0000-0100-000009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1" authorId="0" shapeId="0" xr:uid="{00000000-0006-0000-0100-00000A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1" authorId="0" shapeId="0" xr:uid="{00000000-0006-0000-0100-00000B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1" authorId="0" shapeId="0" xr:uid="{00000000-0006-0000-0100-00000C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1" authorId="0" shapeId="0" xr:uid="{00000000-0006-0000-0100-00000D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1" authorId="0" shapeId="0" xr:uid="{00000000-0006-0000-0100-00000E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1" authorId="0" shapeId="0" xr:uid="{00000000-0006-0000-0100-00000F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1" authorId="0" shapeId="0" xr:uid="{00000000-0006-0000-0100-000010000000}">
      <text>
        <r>
          <rPr>
            <sz val="10"/>
            <color rgb="FF000000"/>
            <rFont val="Arial"/>
          </rPr>
          <t>base inaccuracy whilst crouched</t>
        </r>
      </text>
    </comment>
    <comment ref="U1" authorId="0" shapeId="0" xr:uid="{00000000-0006-0000-0100-000011000000}">
      <text>
        <r>
          <rPr>
            <sz val="10"/>
            <color rgb="FF000000"/>
            <rFont val="Arial"/>
          </rPr>
          <t>base inaccuracy whilst standing</t>
        </r>
      </text>
    </comment>
    <comment ref="V1" authorId="0" shapeId="0" xr:uid="{00000000-0006-0000-0100-000012000000}">
      <text>
        <r>
          <rPr>
            <sz val="10"/>
            <color rgb="FF000000"/>
            <rFont val="Arial"/>
          </rPr>
          <t>additional inaccuracy after firing</t>
        </r>
      </text>
    </comment>
    <comment ref="W1" authorId="0" shapeId="0" xr:uid="{00000000-0006-0000-0100-000013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1" authorId="0" shapeId="0" xr:uid="{00000000-0006-0000-0100-000014000000}">
      <text>
        <r>
          <rPr>
            <sz val="10"/>
            <color rgb="FF000000"/>
            <rFont val="Arial"/>
          </rPr>
          <t>additional inaccuracy upon jumping</t>
        </r>
      </text>
    </comment>
    <comment ref="AA1" authorId="0" shapeId="0" xr:uid="{00000000-0006-0000-0100-000015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1" authorId="0" shapeId="0" xr:uid="{00000000-0006-0000-0100-000016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1" authorId="0" shapeId="0" xr:uid="{00000000-0006-0000-0100-000017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1" authorId="0" shapeId="0" xr:uid="{00000000-0006-0000-0100-000018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1" authorId="0" shapeId="0" xr:uid="{00000000-0006-0000-0100-000019000000}">
      <text>
        <r>
          <rPr>
            <sz val="10"/>
            <color rgb="FF000000"/>
            <rFont val="Arial"/>
          </rPr>
          <t>amount of x-axis recoil</t>
        </r>
      </text>
    </comment>
    <comment ref="AH1" authorId="0" shapeId="0" xr:uid="{00000000-0006-0000-0100-00001A000000}">
      <text>
        <r>
          <rPr>
            <sz val="10"/>
            <color rgb="FF000000"/>
            <rFont val="Arial"/>
          </rPr>
          <t>amount of recoil</t>
        </r>
      </text>
    </comment>
    <comment ref="AI1" authorId="0" shapeId="0" xr:uid="{00000000-0006-0000-0100-00001B000000}">
      <text>
        <r>
          <rPr>
            <sz val="10"/>
            <color rgb="FF000000"/>
            <rFont val="Arial"/>
          </rPr>
          <t>amount of y-axis recoil variance</t>
        </r>
      </text>
    </comment>
    <comment ref="AW1" authorId="0" shapeId="0" xr:uid="{00000000-0006-0000-0100-00001C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1" authorId="0" shapeId="0" xr:uid="{00000000-0006-0000-0100-00001D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1" authorId="0" shapeId="0" xr:uid="{00000000-0006-0000-0100-00001E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1" authorId="0" shapeId="0" xr:uid="{00000000-0006-0000-0100-00001F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1" authorId="0" shapeId="0" xr:uid="{00000000-0006-0000-0100-000020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2" authorId="0" shapeId="0" xr:uid="{00000000-0006-0000-0100-000021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100-000022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100-000023000000}">
      <text>
        <r>
          <rPr>
            <sz val="10"/>
            <color rgb="FF000000"/>
            <rFont val="Arial"/>
          </rPr>
          <t>Dual Berettas</t>
        </r>
      </text>
    </comment>
    <comment ref="AJ4" authorId="0" shapeId="0" xr:uid="{00000000-0006-0000-0100-000024000000}">
      <text>
        <r>
          <rPr>
            <sz val="10"/>
            <color rgb="FF000000"/>
            <rFont val="Arial"/>
          </rPr>
          <t>unused</t>
        </r>
      </text>
    </comment>
    <comment ref="AK4" authorId="0" shapeId="0" xr:uid="{00000000-0006-0000-0100-000025000000}">
      <text>
        <r>
          <rPr>
            <sz val="10"/>
            <color rgb="FF000000"/>
            <rFont val="Arial"/>
          </rPr>
          <t>unused</t>
        </r>
      </text>
    </comment>
    <comment ref="AL4" authorId="0" shapeId="0" xr:uid="{00000000-0006-0000-0100-000026000000}">
      <text>
        <r>
          <rPr>
            <sz val="10"/>
            <color rgb="FF000000"/>
            <rFont val="Arial"/>
          </rPr>
          <t>unused</t>
        </r>
      </text>
    </comment>
    <comment ref="AN4" authorId="0" shapeId="0" xr:uid="{00000000-0006-0000-0100-000027000000}">
      <text>
        <r>
          <rPr>
            <sz val="10"/>
            <color rgb="FF000000"/>
            <rFont val="Arial"/>
          </rPr>
          <t>unused</t>
        </r>
      </text>
    </comment>
    <comment ref="AO4" authorId="0" shapeId="0" xr:uid="{00000000-0006-0000-0100-000028000000}">
      <text>
        <r>
          <rPr>
            <sz val="10"/>
            <color rgb="FF000000"/>
            <rFont val="Arial"/>
          </rPr>
          <t>unused</t>
        </r>
      </text>
    </comment>
    <comment ref="AP4" authorId="0" shapeId="0" xr:uid="{00000000-0006-0000-0100-000029000000}">
      <text>
        <r>
          <rPr>
            <sz val="10"/>
            <color rgb="FF000000"/>
            <rFont val="Arial"/>
          </rPr>
          <t>unused</t>
        </r>
      </text>
    </comment>
    <comment ref="AQ4" authorId="0" shapeId="0" xr:uid="{00000000-0006-0000-0100-00002A000000}">
      <text>
        <r>
          <rPr>
            <sz val="10"/>
            <color rgb="FF000000"/>
            <rFont val="Arial"/>
          </rPr>
          <t>unused</t>
        </r>
      </text>
    </comment>
    <comment ref="AR4" authorId="0" shapeId="0" xr:uid="{00000000-0006-0000-0100-00002B000000}">
      <text>
        <r>
          <rPr>
            <sz val="10"/>
            <color rgb="FF000000"/>
            <rFont val="Arial"/>
          </rPr>
          <t>unused</t>
        </r>
      </text>
    </comment>
    <comment ref="AS4" authorId="0" shapeId="0" xr:uid="{00000000-0006-0000-0100-00002C000000}">
      <text>
        <r>
          <rPr>
            <sz val="10"/>
            <color rgb="FF000000"/>
            <rFont val="Arial"/>
          </rPr>
          <t>unused</t>
        </r>
      </text>
    </comment>
    <comment ref="AT4" authorId="0" shapeId="0" xr:uid="{00000000-0006-0000-0100-00002D000000}">
      <text>
        <r>
          <rPr>
            <sz val="10"/>
            <color rgb="FF000000"/>
            <rFont val="Arial"/>
          </rPr>
          <t>unused</t>
        </r>
      </text>
    </comment>
    <comment ref="AU4" authorId="0" shapeId="0" xr:uid="{00000000-0006-0000-0100-00002E000000}">
      <text>
        <r>
          <rPr>
            <sz val="10"/>
            <color rgb="FF000000"/>
            <rFont val="Arial"/>
          </rPr>
          <t>unused</t>
        </r>
      </text>
    </comment>
    <comment ref="AV4" authorId="0" shapeId="0" xr:uid="{00000000-0006-0000-0100-00002F000000}">
      <text>
        <r>
          <rPr>
            <sz val="10"/>
            <color rgb="FF000000"/>
            <rFont val="Arial"/>
          </rPr>
          <t>unused</t>
        </r>
      </text>
    </comment>
    <comment ref="A5" authorId="0" shapeId="0" xr:uid="{00000000-0006-0000-0100-000030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100-000031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100-000032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100-000033000000}">
      <text>
        <r>
          <rPr>
            <sz val="10"/>
            <color rgb="FF000000"/>
            <rFont val="Arial"/>
          </rPr>
          <t>USP-S</t>
        </r>
      </text>
    </comment>
    <comment ref="A9" authorId="0" shapeId="0" xr:uid="{00000000-0006-0000-0100-000034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100-000035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100-000036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100-000037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13" authorId="0" shapeId="0" xr:uid="{00000000-0006-0000-0100-000038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13" authorId="0" shapeId="0" xr:uid="{00000000-0006-0000-0100-000039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13" authorId="0" shapeId="0" xr:uid="{00000000-0006-0000-0100-00003A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13" authorId="0" shapeId="0" xr:uid="{00000000-0006-0000-0100-00003B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13" authorId="0" shapeId="0" xr:uid="{00000000-0006-0000-0100-00003C000000}">
      <text>
        <r>
          <rPr>
            <sz val="10"/>
            <color rgb="FF000000"/>
            <rFont val="Arial"/>
          </rPr>
          <t>penetration capability</t>
        </r>
      </text>
    </comment>
    <comment ref="I13" authorId="0" shapeId="0" xr:uid="{00000000-0006-0000-0100-00003D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13" authorId="0" shapeId="0" xr:uid="{00000000-0006-0000-0100-00003E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13" authorId="0" shapeId="0" xr:uid="{00000000-0006-0000-0100-00003F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13" authorId="0" shapeId="0" xr:uid="{00000000-0006-0000-0100-000040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13" authorId="0" shapeId="0" xr:uid="{00000000-0006-0000-0100-000041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13" authorId="0" shapeId="0" xr:uid="{00000000-0006-0000-0100-000042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13" authorId="0" shapeId="0" xr:uid="{00000000-0006-0000-0100-000043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13" authorId="0" shapeId="0" xr:uid="{00000000-0006-0000-0100-000044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13" authorId="0" shapeId="0" xr:uid="{00000000-0006-0000-0100-000045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13" authorId="0" shapeId="0" xr:uid="{00000000-0006-0000-0100-000046000000}">
      <text>
        <r>
          <rPr>
            <sz val="10"/>
            <color rgb="FF000000"/>
            <rFont val="Arial"/>
          </rPr>
          <t>base inaccuracy whilst crouched</t>
        </r>
      </text>
    </comment>
    <comment ref="U13" authorId="0" shapeId="0" xr:uid="{00000000-0006-0000-0100-000047000000}">
      <text>
        <r>
          <rPr>
            <sz val="10"/>
            <color rgb="FF000000"/>
            <rFont val="Arial"/>
          </rPr>
          <t>base inaccuracy whilst standing</t>
        </r>
      </text>
    </comment>
    <comment ref="V13" authorId="0" shapeId="0" xr:uid="{00000000-0006-0000-0100-000048000000}">
      <text>
        <r>
          <rPr>
            <sz val="10"/>
            <color rgb="FF000000"/>
            <rFont val="Arial"/>
          </rPr>
          <t>additional inaccuracy after firing</t>
        </r>
      </text>
    </comment>
    <comment ref="W13" authorId="0" shapeId="0" xr:uid="{00000000-0006-0000-0100-000049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13" authorId="0" shapeId="0" xr:uid="{00000000-0006-0000-0100-00004A000000}">
      <text>
        <r>
          <rPr>
            <sz val="10"/>
            <color rgb="FF000000"/>
            <rFont val="Arial"/>
          </rPr>
          <t>additional inaccuracy upon jumping</t>
        </r>
      </text>
    </comment>
    <comment ref="AA13" authorId="0" shapeId="0" xr:uid="{00000000-0006-0000-0100-00004B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13" authorId="0" shapeId="0" xr:uid="{00000000-0006-0000-0100-00004C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13" authorId="0" shapeId="0" xr:uid="{00000000-0006-0000-0100-00004D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13" authorId="0" shapeId="0" xr:uid="{00000000-0006-0000-0100-00004E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13" authorId="0" shapeId="0" xr:uid="{00000000-0006-0000-0100-00004F000000}">
      <text>
        <r>
          <rPr>
            <sz val="10"/>
            <color rgb="FF000000"/>
            <rFont val="Arial"/>
          </rPr>
          <t>amount of x-axis recoil</t>
        </r>
      </text>
    </comment>
    <comment ref="AH13" authorId="0" shapeId="0" xr:uid="{00000000-0006-0000-0100-000050000000}">
      <text>
        <r>
          <rPr>
            <sz val="10"/>
            <color rgb="FF000000"/>
            <rFont val="Arial"/>
          </rPr>
          <t>amount of recoil</t>
        </r>
      </text>
    </comment>
    <comment ref="AI13" authorId="0" shapeId="0" xr:uid="{00000000-0006-0000-0100-000051000000}">
      <text>
        <r>
          <rPr>
            <sz val="10"/>
            <color rgb="FF000000"/>
            <rFont val="Arial"/>
          </rPr>
          <t>amount of y-axis recoil variance</t>
        </r>
      </text>
    </comment>
    <comment ref="AW13" authorId="0" shapeId="0" xr:uid="{00000000-0006-0000-0100-000052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13" authorId="0" shapeId="0" xr:uid="{00000000-0006-0000-0100-000053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13" authorId="0" shapeId="0" xr:uid="{00000000-0006-0000-0100-000054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13" authorId="0" shapeId="0" xr:uid="{00000000-0006-0000-0100-000055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13" authorId="0" shapeId="0" xr:uid="{00000000-0006-0000-0100-000056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14" authorId="0" shapeId="0" xr:uid="{00000000-0006-0000-0100-000057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100-000058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100-000059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100-00005A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100-00005B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19" authorId="0" shapeId="0" xr:uid="{00000000-0006-0000-0100-00005C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19" authorId="0" shapeId="0" xr:uid="{00000000-0006-0000-0100-00005D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19" authorId="0" shapeId="0" xr:uid="{00000000-0006-0000-0100-00005E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19" authorId="0" shapeId="0" xr:uid="{00000000-0006-0000-0100-00005F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19" authorId="0" shapeId="0" xr:uid="{00000000-0006-0000-0100-000060000000}">
      <text>
        <r>
          <rPr>
            <sz val="10"/>
            <color rgb="FF000000"/>
            <rFont val="Arial"/>
          </rPr>
          <t>penetration capability</t>
        </r>
      </text>
    </comment>
    <comment ref="I19" authorId="0" shapeId="0" xr:uid="{00000000-0006-0000-0100-000061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19" authorId="0" shapeId="0" xr:uid="{00000000-0006-0000-0100-000062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19" authorId="0" shapeId="0" xr:uid="{00000000-0006-0000-0100-000063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19" authorId="0" shapeId="0" xr:uid="{00000000-0006-0000-0100-000064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19" authorId="0" shapeId="0" xr:uid="{00000000-0006-0000-0100-000065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19" authorId="0" shapeId="0" xr:uid="{00000000-0006-0000-0100-000066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19" authorId="0" shapeId="0" xr:uid="{00000000-0006-0000-0100-000067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19" authorId="0" shapeId="0" xr:uid="{00000000-0006-0000-0100-000068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19" authorId="0" shapeId="0" xr:uid="{00000000-0006-0000-0100-000069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19" authorId="0" shapeId="0" xr:uid="{00000000-0006-0000-0100-00006A000000}">
      <text>
        <r>
          <rPr>
            <sz val="10"/>
            <color rgb="FF000000"/>
            <rFont val="Arial"/>
          </rPr>
          <t>base inaccuracy whilst crouched</t>
        </r>
      </text>
    </comment>
    <comment ref="U19" authorId="0" shapeId="0" xr:uid="{00000000-0006-0000-0100-00006B000000}">
      <text>
        <r>
          <rPr>
            <sz val="10"/>
            <color rgb="FF000000"/>
            <rFont val="Arial"/>
          </rPr>
          <t>base inaccuracy whilst standing</t>
        </r>
      </text>
    </comment>
    <comment ref="V19" authorId="0" shapeId="0" xr:uid="{00000000-0006-0000-0100-00006C000000}">
      <text>
        <r>
          <rPr>
            <sz val="10"/>
            <color rgb="FF000000"/>
            <rFont val="Arial"/>
          </rPr>
          <t>additional inaccuracy after firing</t>
        </r>
      </text>
    </comment>
    <comment ref="W19" authorId="0" shapeId="0" xr:uid="{00000000-0006-0000-0100-00006D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19" authorId="0" shapeId="0" xr:uid="{00000000-0006-0000-0100-00006E000000}">
      <text>
        <r>
          <rPr>
            <sz val="10"/>
            <color rgb="FF000000"/>
            <rFont val="Arial"/>
          </rPr>
          <t>additional inaccuracy upon jumping</t>
        </r>
      </text>
    </comment>
    <comment ref="AA19" authorId="0" shapeId="0" xr:uid="{00000000-0006-0000-0100-00006F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19" authorId="0" shapeId="0" xr:uid="{00000000-0006-0000-0100-000070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19" authorId="0" shapeId="0" xr:uid="{00000000-0006-0000-0100-000071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19" authorId="0" shapeId="0" xr:uid="{00000000-0006-0000-0100-000072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19" authorId="0" shapeId="0" xr:uid="{00000000-0006-0000-0100-000073000000}">
      <text>
        <r>
          <rPr>
            <sz val="10"/>
            <color rgb="FF000000"/>
            <rFont val="Arial"/>
          </rPr>
          <t>amount of x-axis recoil</t>
        </r>
      </text>
    </comment>
    <comment ref="AH19" authorId="0" shapeId="0" xr:uid="{00000000-0006-0000-0100-000074000000}">
      <text>
        <r>
          <rPr>
            <sz val="10"/>
            <color rgb="FF000000"/>
            <rFont val="Arial"/>
          </rPr>
          <t>amount of recoil</t>
        </r>
      </text>
    </comment>
    <comment ref="AI19" authorId="0" shapeId="0" xr:uid="{00000000-0006-0000-0100-000075000000}">
      <text>
        <r>
          <rPr>
            <sz val="10"/>
            <color rgb="FF000000"/>
            <rFont val="Arial"/>
          </rPr>
          <t>amount of y-axis recoil variance</t>
        </r>
      </text>
    </comment>
    <comment ref="AW19" authorId="0" shapeId="0" xr:uid="{00000000-0006-0000-0100-000076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19" authorId="0" shapeId="0" xr:uid="{00000000-0006-0000-0100-000077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19" authorId="0" shapeId="0" xr:uid="{00000000-0006-0000-0100-000078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19" authorId="0" shapeId="0" xr:uid="{00000000-0006-0000-0100-000079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19" authorId="0" shapeId="0" xr:uid="{00000000-0006-0000-0100-00007A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20" authorId="0" shapeId="0" xr:uid="{00000000-0006-0000-0100-00007B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100-00007C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100-00007D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100-00007E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100-00007F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100-000080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100-000081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100-000082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28" authorId="0" shapeId="0" xr:uid="{00000000-0006-0000-0100-000083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28" authorId="0" shapeId="0" xr:uid="{00000000-0006-0000-0100-000084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28" authorId="0" shapeId="0" xr:uid="{00000000-0006-0000-0100-000085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28" authorId="0" shapeId="0" xr:uid="{00000000-0006-0000-0100-000086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28" authorId="0" shapeId="0" xr:uid="{00000000-0006-0000-0100-000087000000}">
      <text>
        <r>
          <rPr>
            <sz val="10"/>
            <color rgb="FF000000"/>
            <rFont val="Arial"/>
          </rPr>
          <t>penetration capability</t>
        </r>
      </text>
    </comment>
    <comment ref="I28" authorId="0" shapeId="0" xr:uid="{00000000-0006-0000-0100-000088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28" authorId="0" shapeId="0" xr:uid="{00000000-0006-0000-0100-000089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28" authorId="0" shapeId="0" xr:uid="{00000000-0006-0000-0100-00008A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28" authorId="0" shapeId="0" xr:uid="{00000000-0006-0000-0100-00008B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28" authorId="0" shapeId="0" xr:uid="{00000000-0006-0000-0100-00008C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28" authorId="0" shapeId="0" xr:uid="{00000000-0006-0000-0100-00008D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28" authorId="0" shapeId="0" xr:uid="{00000000-0006-0000-0100-00008E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28" authorId="0" shapeId="0" xr:uid="{00000000-0006-0000-0100-00008F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28" authorId="0" shapeId="0" xr:uid="{00000000-0006-0000-0100-000090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28" authorId="0" shapeId="0" xr:uid="{00000000-0006-0000-0100-000091000000}">
      <text>
        <r>
          <rPr>
            <sz val="10"/>
            <color rgb="FF000000"/>
            <rFont val="Arial"/>
          </rPr>
          <t>base inaccuracy whilst crouched</t>
        </r>
      </text>
    </comment>
    <comment ref="U28" authorId="0" shapeId="0" xr:uid="{00000000-0006-0000-0100-000092000000}">
      <text>
        <r>
          <rPr>
            <sz val="10"/>
            <color rgb="FF000000"/>
            <rFont val="Arial"/>
          </rPr>
          <t>base inaccuracy whilst standing</t>
        </r>
      </text>
    </comment>
    <comment ref="V28" authorId="0" shapeId="0" xr:uid="{00000000-0006-0000-0100-000093000000}">
      <text>
        <r>
          <rPr>
            <sz val="10"/>
            <color rgb="FF000000"/>
            <rFont val="Arial"/>
          </rPr>
          <t>additional inaccuracy after firing</t>
        </r>
      </text>
    </comment>
    <comment ref="W28" authorId="0" shapeId="0" xr:uid="{00000000-0006-0000-0100-000094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28" authorId="0" shapeId="0" xr:uid="{00000000-0006-0000-0100-000095000000}">
      <text>
        <r>
          <rPr>
            <sz val="10"/>
            <color rgb="FF000000"/>
            <rFont val="Arial"/>
          </rPr>
          <t>additional inaccuracy upon jumping</t>
        </r>
      </text>
    </comment>
    <comment ref="AA28" authorId="0" shapeId="0" xr:uid="{00000000-0006-0000-0100-000096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28" authorId="0" shapeId="0" xr:uid="{00000000-0006-0000-0100-000097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28" authorId="0" shapeId="0" xr:uid="{00000000-0006-0000-0100-000098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28" authorId="0" shapeId="0" xr:uid="{00000000-0006-0000-0100-000099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28" authorId="0" shapeId="0" xr:uid="{00000000-0006-0000-0100-00009A000000}">
      <text>
        <r>
          <rPr>
            <sz val="10"/>
            <color rgb="FF000000"/>
            <rFont val="Arial"/>
          </rPr>
          <t>amount of x-axis recoil</t>
        </r>
      </text>
    </comment>
    <comment ref="AH28" authorId="0" shapeId="0" xr:uid="{00000000-0006-0000-0100-00009B000000}">
      <text>
        <r>
          <rPr>
            <sz val="10"/>
            <color rgb="FF000000"/>
            <rFont val="Arial"/>
          </rPr>
          <t>amount of recoil</t>
        </r>
      </text>
    </comment>
    <comment ref="AI28" authorId="0" shapeId="0" xr:uid="{00000000-0006-0000-0100-00009C000000}">
      <text>
        <r>
          <rPr>
            <sz val="10"/>
            <color rgb="FF000000"/>
            <rFont val="Arial"/>
          </rPr>
          <t>amount of y-axis recoil variance</t>
        </r>
      </text>
    </comment>
    <comment ref="AW28" authorId="0" shapeId="0" xr:uid="{00000000-0006-0000-0100-00009D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28" authorId="0" shapeId="0" xr:uid="{00000000-0006-0000-0100-00009E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28" authorId="0" shapeId="0" xr:uid="{00000000-0006-0000-0100-00009F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28" authorId="0" shapeId="0" xr:uid="{00000000-0006-0000-0100-0000A0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28" authorId="0" shapeId="0" xr:uid="{00000000-0006-0000-0100-0000A1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29" authorId="0" shapeId="0" xr:uid="{00000000-0006-0000-0100-0000A2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100-0000A3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100-0000A4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100-0000A5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100-0000A6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100-0000A7000000}">
      <text>
        <r>
          <rPr>
            <sz val="10"/>
            <color rgb="FF000000"/>
            <rFont val="Arial"/>
          </rPr>
          <t>M4A1-S</t>
        </r>
      </text>
    </comment>
    <comment ref="A35" authorId="0" shapeId="0" xr:uid="{00000000-0006-0000-0100-0000A8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100-0000A9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37" authorId="0" shapeId="0" xr:uid="{00000000-0006-0000-0100-0000AA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37" authorId="0" shapeId="0" xr:uid="{00000000-0006-0000-0100-0000AB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37" authorId="0" shapeId="0" xr:uid="{00000000-0006-0000-0100-0000AC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37" authorId="0" shapeId="0" xr:uid="{00000000-0006-0000-0100-0000AD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37" authorId="0" shapeId="0" xr:uid="{00000000-0006-0000-0100-0000AE000000}">
      <text>
        <r>
          <rPr>
            <sz val="10"/>
            <color rgb="FF000000"/>
            <rFont val="Arial"/>
          </rPr>
          <t>penetration capability</t>
        </r>
      </text>
    </comment>
    <comment ref="I37" authorId="0" shapeId="0" xr:uid="{00000000-0006-0000-0100-0000AF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37" authorId="0" shapeId="0" xr:uid="{00000000-0006-0000-0100-0000B0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37" authorId="0" shapeId="0" xr:uid="{00000000-0006-0000-0100-0000B1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37" authorId="0" shapeId="0" xr:uid="{00000000-0006-0000-0100-0000B2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37" authorId="0" shapeId="0" xr:uid="{00000000-0006-0000-0100-0000B3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37" authorId="0" shapeId="0" xr:uid="{00000000-0006-0000-0100-0000B4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37" authorId="0" shapeId="0" xr:uid="{00000000-0006-0000-0100-0000B5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37" authorId="0" shapeId="0" xr:uid="{00000000-0006-0000-0100-0000B6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37" authorId="0" shapeId="0" xr:uid="{00000000-0006-0000-0100-0000B7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37" authorId="0" shapeId="0" xr:uid="{00000000-0006-0000-0100-0000B8000000}">
      <text>
        <r>
          <rPr>
            <sz val="10"/>
            <color rgb="FF000000"/>
            <rFont val="Arial"/>
          </rPr>
          <t>base inaccuracy whilst crouched</t>
        </r>
      </text>
    </comment>
    <comment ref="U37" authorId="0" shapeId="0" xr:uid="{00000000-0006-0000-0100-0000B9000000}">
      <text>
        <r>
          <rPr>
            <sz val="10"/>
            <color rgb="FF000000"/>
            <rFont val="Arial"/>
          </rPr>
          <t>base inaccuracy whilst standing</t>
        </r>
      </text>
    </comment>
    <comment ref="V37" authorId="0" shapeId="0" xr:uid="{00000000-0006-0000-0100-0000BA000000}">
      <text>
        <r>
          <rPr>
            <sz val="10"/>
            <color rgb="FF000000"/>
            <rFont val="Arial"/>
          </rPr>
          <t>additional inaccuracy after firing</t>
        </r>
      </text>
    </comment>
    <comment ref="W37" authorId="0" shapeId="0" xr:uid="{00000000-0006-0000-0100-0000BB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37" authorId="0" shapeId="0" xr:uid="{00000000-0006-0000-0100-0000BC000000}">
      <text>
        <r>
          <rPr>
            <sz val="10"/>
            <color rgb="FF000000"/>
            <rFont val="Arial"/>
          </rPr>
          <t>additional inaccuracy upon jumping</t>
        </r>
      </text>
    </comment>
    <comment ref="AA37" authorId="0" shapeId="0" xr:uid="{00000000-0006-0000-0100-0000BD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37" authorId="0" shapeId="0" xr:uid="{00000000-0006-0000-0100-0000BE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37" authorId="0" shapeId="0" xr:uid="{00000000-0006-0000-0100-0000BF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37" authorId="0" shapeId="0" xr:uid="{00000000-0006-0000-0100-0000C0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37" authorId="0" shapeId="0" xr:uid="{00000000-0006-0000-0100-0000C1000000}">
      <text>
        <r>
          <rPr>
            <sz val="10"/>
            <color rgb="FF000000"/>
            <rFont val="Arial"/>
          </rPr>
          <t>amount of x-axis recoil</t>
        </r>
      </text>
    </comment>
    <comment ref="AH37" authorId="0" shapeId="0" xr:uid="{00000000-0006-0000-0100-0000C2000000}">
      <text>
        <r>
          <rPr>
            <sz val="10"/>
            <color rgb="FF000000"/>
            <rFont val="Arial"/>
          </rPr>
          <t>amount of recoil</t>
        </r>
      </text>
    </comment>
    <comment ref="AI37" authorId="0" shapeId="0" xr:uid="{00000000-0006-0000-0100-0000C3000000}">
      <text>
        <r>
          <rPr>
            <sz val="10"/>
            <color rgb="FF000000"/>
            <rFont val="Arial"/>
          </rPr>
          <t>amount of y-axis recoil variance</t>
        </r>
      </text>
    </comment>
    <comment ref="AW37" authorId="0" shapeId="0" xr:uid="{00000000-0006-0000-0100-0000C4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37" authorId="0" shapeId="0" xr:uid="{00000000-0006-0000-0100-0000C5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37" authorId="0" shapeId="0" xr:uid="{00000000-0006-0000-0100-0000C6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37" authorId="0" shapeId="0" xr:uid="{00000000-0006-0000-0100-0000C7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37" authorId="0" shapeId="0" xr:uid="{00000000-0006-0000-0100-0000C8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38" authorId="0" shapeId="0" xr:uid="{00000000-0006-0000-0100-0000C9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100-0000CA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100-0000CB000000}">
      <text>
        <r>
          <rPr>
            <sz val="10"/>
            <color rgb="FF000000"/>
            <rFont val="Arial"/>
          </rPr>
          <t>Damage against armored opponents is multiplied by WeaponArmorRatio/2</t>
        </r>
      </text>
    </comment>
    <comment ref="C41" authorId="0" shapeId="0" xr:uid="{00000000-0006-0000-0100-0000CC000000}">
      <text>
        <r>
          <rPr>
            <sz val="10"/>
            <color rgb="FF000000"/>
            <rFont val="Arial"/>
          </rPr>
          <t>amount of damage inficted per bullet before any modifiers</t>
        </r>
      </text>
    </comment>
    <comment ref="D41" authorId="0" shapeId="0" xr:uid="{00000000-0006-0000-0100-0000CD000000}">
      <text>
        <r>
          <rPr>
            <sz val="10"/>
            <color rgb="FF000000"/>
            <rFont val="Arial"/>
          </rPr>
          <t>Damage is multiplied by 'RangeModifier ^ (Distance(u)/500u)'</t>
        </r>
      </text>
    </comment>
    <comment ref="E41" authorId="0" shapeId="0" xr:uid="{00000000-0006-0000-0100-0000CE000000}">
      <text>
        <r>
          <rPr>
            <sz val="10"/>
            <color rgb="FF000000"/>
            <rFont val="Arial"/>
          </rPr>
          <t xml:space="preserve">The amount damage is multiplied for headshots.
</t>
        </r>
      </text>
    </comment>
    <comment ref="F41" authorId="0" shapeId="0" xr:uid="{00000000-0006-0000-0100-0000CF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G41" authorId="0" shapeId="0" xr:uid="{00000000-0006-0000-0100-0000D0000000}">
      <text>
        <r>
          <rPr>
            <sz val="10"/>
            <color rgb="FF000000"/>
            <rFont val="Arial"/>
          </rPr>
          <t>penetration capability</t>
        </r>
      </text>
    </comment>
    <comment ref="I41" authorId="0" shapeId="0" xr:uid="{00000000-0006-0000-0100-0000D1000000}">
      <text>
        <r>
          <rPr>
            <sz val="10"/>
            <color rgb="FF000000"/>
            <rFont val="Arial"/>
          </rPr>
          <t>maximum running speed with the weapon equipped</t>
        </r>
      </text>
    </comment>
    <comment ref="J41" authorId="0" shapeId="0" xr:uid="{00000000-0006-0000-0100-0000D2000000}">
      <text>
        <r>
          <rPr>
            <sz val="10"/>
            <color rgb="FF000000"/>
            <rFont val="Arial"/>
          </rPr>
          <t>number of bullets(or shots) per weapon clip</t>
        </r>
      </text>
    </comment>
    <comment ref="L41" authorId="0" shapeId="0" xr:uid="{00000000-0006-0000-0100-0000D3000000}">
      <text>
        <r>
          <rPr>
            <sz val="10"/>
            <color rgb="FF000000"/>
            <rFont val="Arial"/>
          </rPr>
          <t>bullet travel distance in units before disappearing. 16u = 1ft</t>
        </r>
      </text>
    </comment>
    <comment ref="N41" authorId="0" shapeId="0" xr:uid="{00000000-0006-0000-0100-0000D4000000}">
      <text>
        <r>
          <rPr>
            <sz val="10"/>
            <color rgb="FF000000"/>
            <rFont val="Arial"/>
          </rPr>
          <t>weapon fires automatically whilst +attack is toggled</t>
        </r>
      </text>
    </comment>
    <comment ref="O41" authorId="0" shapeId="0" xr:uid="{00000000-0006-0000-0100-0000D5000000}">
      <text>
        <r>
          <rPr>
            <sz val="10"/>
            <color rgb="FF000000"/>
            <rFont val="Arial"/>
          </rPr>
          <t>the number of bullets (pellets for a shotgun) fired from a cartridge</t>
        </r>
      </text>
    </comment>
    <comment ref="P41" authorId="0" shapeId="0" xr:uid="{00000000-0006-0000-0100-0000D6000000}">
      <text>
        <r>
          <rPr>
            <sz val="10"/>
            <color rgb="FF000000"/>
            <rFont val="Arial"/>
          </rPr>
          <t>the frequency at which tracers are applied to bullets (0 = never, 1 = every shot, 2 = every other, etc)</t>
        </r>
      </text>
    </comment>
    <comment ref="Q41" authorId="0" shapeId="0" xr:uid="{00000000-0006-0000-0100-0000D7000000}">
      <text>
        <r>
          <rPr>
            <sz val="10"/>
            <color rgb="FF000000"/>
            <rFont val="Arial"/>
          </rPr>
          <t>The factor a target is slowed to (the lower the more effective)</t>
        </r>
      </text>
    </comment>
    <comment ref="R41" authorId="0" shapeId="0" xr:uid="{00000000-0006-0000-0100-0000D8000000}">
      <text>
        <r>
          <rPr>
            <sz val="10"/>
            <color rgb="FF000000"/>
            <rFont val="Arial"/>
          </rPr>
          <t>How well tagging stacks with consecutive hits (the higher the more effective)</t>
        </r>
      </text>
    </comment>
    <comment ref="S41" authorId="0" shapeId="0" xr:uid="{00000000-0006-0000-0100-0000D9000000}">
      <text>
        <r>
          <rPr>
            <sz val="10"/>
            <color rgb="FF000000"/>
            <rFont val="Arial"/>
          </rPr>
          <t>additional inaccuracy calculated per bullet</t>
        </r>
      </text>
    </comment>
    <comment ref="T41" authorId="0" shapeId="0" xr:uid="{00000000-0006-0000-0100-0000DA000000}">
      <text>
        <r>
          <rPr>
            <sz val="10"/>
            <color rgb="FF000000"/>
            <rFont val="Arial"/>
          </rPr>
          <t>base inaccuracy whilst crouched</t>
        </r>
      </text>
    </comment>
    <comment ref="U41" authorId="0" shapeId="0" xr:uid="{00000000-0006-0000-0100-0000DB000000}">
      <text>
        <r>
          <rPr>
            <sz val="10"/>
            <color rgb="FF000000"/>
            <rFont val="Arial"/>
          </rPr>
          <t>base inaccuracy whilst standing</t>
        </r>
      </text>
    </comment>
    <comment ref="V41" authorId="0" shapeId="0" xr:uid="{00000000-0006-0000-0100-0000DC000000}">
      <text>
        <r>
          <rPr>
            <sz val="10"/>
            <color rgb="FF000000"/>
            <rFont val="Arial"/>
          </rPr>
          <t>additional inaccuracy after firing</t>
        </r>
      </text>
    </comment>
    <comment ref="W41" authorId="0" shapeId="0" xr:uid="{00000000-0006-0000-0100-0000DD000000}">
      <text>
        <r>
          <rPr>
            <sz val="10"/>
            <color rgb="FF000000"/>
            <rFont val="Arial"/>
          </rPr>
          <t>additional inaccuracy whilst moving at MaxPlayerSpeed</t>
        </r>
      </text>
    </comment>
    <comment ref="X41" authorId="0" shapeId="0" xr:uid="{00000000-0006-0000-0100-0000DE000000}">
      <text>
        <r>
          <rPr>
            <sz val="10"/>
            <color rgb="FF000000"/>
            <rFont val="Arial"/>
          </rPr>
          <t>additional inaccuracy upon jumping</t>
        </r>
      </text>
    </comment>
    <comment ref="AA41" authorId="0" shapeId="0" xr:uid="{00000000-0006-0000-0100-0000DF000000}">
      <text>
        <r>
          <rPr>
            <sz val="10"/>
            <color rgb="FF000000"/>
            <rFont val="Arial"/>
          </rPr>
          <t>additional inaccuracy upon landing (multiply by the z velocity when landing)</t>
        </r>
      </text>
    </comment>
    <comment ref="AB41" authorId="0" shapeId="0" xr:uid="{00000000-0006-0000-0100-0000E0000000}">
      <text>
        <r>
          <rPr>
            <sz val="10"/>
            <color rgb="FF000000"/>
            <rFont val="Arial"/>
          </rPr>
          <t>base inaccuracy whilst using a ladder (multiply by 2 for inaccuracy amount)</t>
        </r>
      </text>
    </comment>
    <comment ref="AC41" authorId="0" shapeId="0" xr:uid="{00000000-0006-0000-0100-0000E1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E41" authorId="0" shapeId="0" xr:uid="{00000000-0006-0000-0100-0000E2000000}">
      <text>
        <r>
          <rPr>
            <sz val="10"/>
            <color rgb="FF000000"/>
            <rFont val="Arial"/>
          </rPr>
          <t>when standing it is the decay rate for InaccuracyFire, InaccuracyJump, InaccuracyLand, and the difference between InaccuracyStand and InaccuracyStandAlt using the following formula: ‘Inacc * (0.1 ^ (time/RecoveryTime))’</t>
        </r>
      </text>
    </comment>
    <comment ref="AG41" authorId="0" shapeId="0" xr:uid="{00000000-0006-0000-0100-0000E3000000}">
      <text>
        <r>
          <rPr>
            <sz val="10"/>
            <color rgb="FF000000"/>
            <rFont val="Arial"/>
          </rPr>
          <t>amount of x-axis recoil</t>
        </r>
      </text>
    </comment>
    <comment ref="AH41" authorId="0" shapeId="0" xr:uid="{00000000-0006-0000-0100-0000E4000000}">
      <text>
        <r>
          <rPr>
            <sz val="10"/>
            <color rgb="FF000000"/>
            <rFont val="Arial"/>
          </rPr>
          <t>amount of recoil</t>
        </r>
      </text>
    </comment>
    <comment ref="AI41" authorId="0" shapeId="0" xr:uid="{00000000-0006-0000-0100-0000E5000000}">
      <text>
        <r>
          <rPr>
            <sz val="10"/>
            <color rgb="FF000000"/>
            <rFont val="Arial"/>
          </rPr>
          <t>amount of y-axis recoil variance</t>
        </r>
      </text>
    </comment>
    <comment ref="AW41" authorId="0" shapeId="0" xr:uid="{00000000-0006-0000-0100-0000E6000000}">
      <text>
        <r>
          <rPr>
            <sz val="10"/>
            <color rgb="FF000000"/>
            <rFont val="Arial"/>
          </rPr>
          <t>the field of view while in the 1st zoom level (default unscoped is 90)</t>
        </r>
      </text>
    </comment>
    <comment ref="AX41" authorId="0" shapeId="0" xr:uid="{00000000-0006-0000-0100-0000E7000000}">
      <text>
        <r>
          <rPr>
            <sz val="10"/>
            <color rgb="FF000000"/>
            <rFont val="Arial"/>
          </rPr>
          <t>the field of view while in the 2nd zoom level (default unscoped is 90)</t>
        </r>
      </text>
    </comment>
    <comment ref="AY41" authorId="0" shapeId="0" xr:uid="{00000000-0006-0000-0100-0000E8000000}">
      <text>
        <r>
          <rPr>
            <sz val="10"/>
            <color rgb="FF000000"/>
            <rFont val="Arial"/>
          </rPr>
          <t>minimum interval between firing next bullet(measured in seconds) for alt fire</t>
        </r>
      </text>
    </comment>
    <comment ref="AZ41" authorId="0" shapeId="0" xr:uid="{00000000-0006-0000-0100-0000E9000000}">
      <text>
        <r>
          <rPr>
            <sz val="10"/>
            <color rgb="FF000000"/>
            <rFont val="Arial"/>
          </rPr>
          <t>minimum interval between firing bursts(measured in seconds)</t>
        </r>
      </text>
    </comment>
    <comment ref="BA41" authorId="0" shapeId="0" xr:uid="{00000000-0006-0000-0100-0000EA000000}">
      <text>
        <r>
          <rPr>
            <sz val="10"/>
            <color rgb="FF000000"/>
            <rFont val="Arial"/>
          </rPr>
          <t>interval between firing next bullet within a burst(measured in seconds)</t>
        </r>
      </text>
    </comment>
    <comment ref="A42" authorId="0" shapeId="0" xr:uid="{00000000-0006-0000-0100-0000EB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100-0000EC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100-0000ED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100-0000EE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</rPr>
          <t>Spread + InaccuracyCrouch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</rPr>
          <t>Spread + InaccuracyStand</t>
        </r>
      </text>
    </comment>
    <comment ref="D1" authorId="0" shapeId="0" xr:uid="{00000000-0006-0000-0200-000003000000}">
      <text>
        <r>
          <rPr>
            <sz val="10"/>
            <color rgb="FF000000"/>
            <rFont val="Arial"/>
          </rPr>
          <t>Standing Inaccuracy + InaccuracyMove</t>
        </r>
      </text>
    </comment>
    <comment ref="F1" authorId="0" shapeId="0" xr:uid="{00000000-0006-0000-0200-000004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1" authorId="0" shapeId="0" xr:uid="{00000000-0006-0000-0200-000005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1" authorId="0" shapeId="0" xr:uid="{00000000-0006-0000-0200-000006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1" authorId="0" shapeId="0" xr:uid="{00000000-0006-0000-0200-000007000000}">
      <text>
        <r>
          <rPr>
            <sz val="10"/>
            <color rgb="FF000000"/>
            <rFont val="Arial"/>
          </rPr>
          <t>Damage*1</t>
        </r>
      </text>
    </comment>
    <comment ref="BA1" authorId="0" shapeId="0" xr:uid="{00000000-0006-0000-0200-000008000000}">
      <text>
        <r>
          <rPr>
            <sz val="10"/>
            <color rgb="FF000000"/>
            <rFont val="Arial"/>
          </rPr>
          <t>Damage*4</t>
        </r>
      </text>
    </comment>
    <comment ref="BB1" authorId="0" shapeId="0" xr:uid="{00000000-0006-0000-0200-000009000000}">
      <text>
        <r>
          <rPr>
            <sz val="10"/>
            <color rgb="FF000000"/>
            <rFont val="Arial"/>
          </rPr>
          <t>Damage*1.25</t>
        </r>
      </text>
    </comment>
    <comment ref="BC1" authorId="0" shapeId="0" xr:uid="{00000000-0006-0000-0200-00000A000000}">
      <text>
        <r>
          <rPr>
            <sz val="10"/>
            <color rgb="FF000000"/>
            <rFont val="Arial"/>
          </rPr>
          <t>Damage*0.75</t>
        </r>
      </text>
    </comment>
    <comment ref="BD1" authorId="0" shapeId="0" xr:uid="{00000000-0006-0000-0200-00000B000000}">
      <text>
        <r>
          <rPr>
            <sz val="10"/>
            <color rgb="FF000000"/>
            <rFont val="Arial"/>
          </rPr>
          <t>Damage*1*(ArmorRatio/2)</t>
        </r>
      </text>
    </comment>
    <comment ref="BE1" authorId="0" shapeId="0" xr:uid="{00000000-0006-0000-0200-00000C000000}">
      <text>
        <r>
          <rPr>
            <sz val="10"/>
            <color rgb="FF000000"/>
            <rFont val="Arial"/>
          </rPr>
          <t>Damage*4*(ArmorRatio/2)</t>
        </r>
      </text>
    </comment>
    <comment ref="BF1" authorId="0" shapeId="0" xr:uid="{00000000-0006-0000-0200-00000D000000}">
      <text>
        <r>
          <rPr>
            <sz val="10"/>
            <color rgb="FF000000"/>
            <rFont val="Arial"/>
          </rPr>
          <t>Damage*1.25*(ArmorRatio/2)</t>
        </r>
      </text>
    </comment>
    <comment ref="A2" authorId="0" shapeId="0" xr:uid="{00000000-0006-0000-0200-00000E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200-00000F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200-000010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200-000011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200-000012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200-000013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200-000014000000}">
      <text>
        <r>
          <rPr>
            <sz val="10"/>
            <color rgb="FF000000"/>
            <rFont val="Arial"/>
          </rPr>
          <t>USP-S (Silencer Equipped)</t>
        </r>
      </text>
    </comment>
    <comment ref="A9" authorId="0" shapeId="0" xr:uid="{00000000-0006-0000-0200-000015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200-000016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200-000017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200-000018000000}">
      <text>
        <r>
          <rPr>
            <sz val="10"/>
            <color rgb="FF000000"/>
            <rFont val="Arial"/>
          </rPr>
          <t>Spread + InaccuracyCrouch</t>
        </r>
      </text>
    </comment>
    <comment ref="C13" authorId="0" shapeId="0" xr:uid="{00000000-0006-0000-0200-000019000000}">
      <text>
        <r>
          <rPr>
            <sz val="10"/>
            <color rgb="FF000000"/>
            <rFont val="Arial"/>
          </rPr>
          <t>Spread + InaccuracyStand</t>
        </r>
      </text>
    </comment>
    <comment ref="D13" authorId="0" shapeId="0" xr:uid="{00000000-0006-0000-0200-00001A000000}">
      <text>
        <r>
          <rPr>
            <sz val="10"/>
            <color rgb="FF000000"/>
            <rFont val="Arial"/>
          </rPr>
          <t>Standing Inaccuracy + InaccuracyMove</t>
        </r>
      </text>
    </comment>
    <comment ref="F13" authorId="0" shapeId="0" xr:uid="{00000000-0006-0000-0200-00001B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13" authorId="0" shapeId="0" xr:uid="{00000000-0006-0000-0200-00001C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13" authorId="0" shapeId="0" xr:uid="{00000000-0006-0000-0200-00001D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13" authorId="0" shapeId="0" xr:uid="{00000000-0006-0000-0200-00001E000000}">
      <text>
        <r>
          <rPr>
            <sz val="10"/>
            <color rgb="FF000000"/>
            <rFont val="Arial"/>
          </rPr>
          <t>Damage*1</t>
        </r>
      </text>
    </comment>
    <comment ref="BA13" authorId="0" shapeId="0" xr:uid="{00000000-0006-0000-0200-00001F000000}">
      <text>
        <r>
          <rPr>
            <sz val="10"/>
            <color rgb="FF000000"/>
            <rFont val="Arial"/>
          </rPr>
          <t>Damage*4</t>
        </r>
      </text>
    </comment>
    <comment ref="BB13" authorId="0" shapeId="0" xr:uid="{00000000-0006-0000-0200-000020000000}">
      <text>
        <r>
          <rPr>
            <sz val="10"/>
            <color rgb="FF000000"/>
            <rFont val="Arial"/>
          </rPr>
          <t>Damage*1.25</t>
        </r>
      </text>
    </comment>
    <comment ref="BC13" authorId="0" shapeId="0" xr:uid="{00000000-0006-0000-0200-000021000000}">
      <text>
        <r>
          <rPr>
            <sz val="10"/>
            <color rgb="FF000000"/>
            <rFont val="Arial"/>
          </rPr>
          <t>Damage*0.75</t>
        </r>
      </text>
    </comment>
    <comment ref="BD13" authorId="0" shapeId="0" xr:uid="{00000000-0006-0000-0200-000022000000}">
      <text>
        <r>
          <rPr>
            <sz val="10"/>
            <color rgb="FF000000"/>
            <rFont val="Arial"/>
          </rPr>
          <t>Damage*1*(ArmorRatio/2)</t>
        </r>
      </text>
    </comment>
    <comment ref="BE13" authorId="0" shapeId="0" xr:uid="{00000000-0006-0000-0200-000023000000}">
      <text>
        <r>
          <rPr>
            <sz val="10"/>
            <color rgb="FF000000"/>
            <rFont val="Arial"/>
          </rPr>
          <t>Damage*4*(ArmorRatio/2)</t>
        </r>
      </text>
    </comment>
    <comment ref="BF13" authorId="0" shapeId="0" xr:uid="{00000000-0006-0000-0200-000024000000}">
      <text>
        <r>
          <rPr>
            <sz val="10"/>
            <color rgb="FF000000"/>
            <rFont val="Arial"/>
          </rPr>
          <t>Damage*1.25*(ArmorRatio/2)</t>
        </r>
      </text>
    </comment>
    <comment ref="A14" authorId="0" shapeId="0" xr:uid="{00000000-0006-0000-0200-000025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200-000026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200-000027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200-000028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200-000029000000}">
      <text>
        <r>
          <rPr>
            <sz val="10"/>
            <color rgb="FF000000"/>
            <rFont val="Arial"/>
          </rPr>
          <t>Spread + InaccuracyCrouch</t>
        </r>
      </text>
    </comment>
    <comment ref="C19" authorId="0" shapeId="0" xr:uid="{00000000-0006-0000-0200-00002A000000}">
      <text>
        <r>
          <rPr>
            <sz val="10"/>
            <color rgb="FF000000"/>
            <rFont val="Arial"/>
          </rPr>
          <t>Spread + InaccuracyStand</t>
        </r>
      </text>
    </comment>
    <comment ref="D19" authorId="0" shapeId="0" xr:uid="{00000000-0006-0000-0200-00002B000000}">
      <text>
        <r>
          <rPr>
            <sz val="10"/>
            <color rgb="FF000000"/>
            <rFont val="Arial"/>
          </rPr>
          <t>Standing Inaccuracy + InaccuracyMove</t>
        </r>
      </text>
    </comment>
    <comment ref="F19" authorId="0" shapeId="0" xr:uid="{00000000-0006-0000-0200-00002C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19" authorId="0" shapeId="0" xr:uid="{00000000-0006-0000-0200-00002D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19" authorId="0" shapeId="0" xr:uid="{00000000-0006-0000-0200-00002E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19" authorId="0" shapeId="0" xr:uid="{00000000-0006-0000-0200-00002F000000}">
      <text>
        <r>
          <rPr>
            <sz val="10"/>
            <color rgb="FF000000"/>
            <rFont val="Arial"/>
          </rPr>
          <t>Damage*1</t>
        </r>
      </text>
    </comment>
    <comment ref="BA19" authorId="0" shapeId="0" xr:uid="{00000000-0006-0000-0200-000030000000}">
      <text>
        <r>
          <rPr>
            <sz val="10"/>
            <color rgb="FF000000"/>
            <rFont val="Arial"/>
          </rPr>
          <t>Damage*4</t>
        </r>
      </text>
    </comment>
    <comment ref="BB19" authorId="0" shapeId="0" xr:uid="{00000000-0006-0000-0200-000031000000}">
      <text>
        <r>
          <rPr>
            <sz val="10"/>
            <color rgb="FF000000"/>
            <rFont val="Arial"/>
          </rPr>
          <t>Damage*1.25</t>
        </r>
      </text>
    </comment>
    <comment ref="BC19" authorId="0" shapeId="0" xr:uid="{00000000-0006-0000-0200-000032000000}">
      <text>
        <r>
          <rPr>
            <sz val="10"/>
            <color rgb="FF000000"/>
            <rFont val="Arial"/>
          </rPr>
          <t>Damage*0.75</t>
        </r>
      </text>
    </comment>
    <comment ref="BD19" authorId="0" shapeId="0" xr:uid="{00000000-0006-0000-0200-000033000000}">
      <text>
        <r>
          <rPr>
            <sz val="10"/>
            <color rgb="FF000000"/>
            <rFont val="Arial"/>
          </rPr>
          <t>Damage*1*(ArmorRatio/2)</t>
        </r>
      </text>
    </comment>
    <comment ref="BE19" authorId="0" shapeId="0" xr:uid="{00000000-0006-0000-0200-000034000000}">
      <text>
        <r>
          <rPr>
            <sz val="10"/>
            <color rgb="FF000000"/>
            <rFont val="Arial"/>
          </rPr>
          <t>Damage*4*(ArmorRatio/2)</t>
        </r>
      </text>
    </comment>
    <comment ref="BF19" authorId="0" shapeId="0" xr:uid="{00000000-0006-0000-0200-000035000000}">
      <text>
        <r>
          <rPr>
            <sz val="10"/>
            <color rgb="FF000000"/>
            <rFont val="Arial"/>
          </rPr>
          <t>Damage*1.25*(ArmorRatio/2)</t>
        </r>
      </text>
    </comment>
    <comment ref="A20" authorId="0" shapeId="0" xr:uid="{00000000-0006-0000-0200-000036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200-000037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200-000038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200-000039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200-00003A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200-00003B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200-00003C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200-00003D000000}">
      <text>
        <r>
          <rPr>
            <sz val="10"/>
            <color rgb="FF000000"/>
            <rFont val="Arial"/>
          </rPr>
          <t>Spread + InaccuracyCrouch</t>
        </r>
      </text>
    </comment>
    <comment ref="C28" authorId="0" shapeId="0" xr:uid="{00000000-0006-0000-0200-00003E000000}">
      <text>
        <r>
          <rPr>
            <sz val="10"/>
            <color rgb="FF000000"/>
            <rFont val="Arial"/>
          </rPr>
          <t>Spread + InaccuracyStand</t>
        </r>
      </text>
    </comment>
    <comment ref="D28" authorId="0" shapeId="0" xr:uid="{00000000-0006-0000-0200-00003F000000}">
      <text>
        <r>
          <rPr>
            <sz val="10"/>
            <color rgb="FF000000"/>
            <rFont val="Arial"/>
          </rPr>
          <t>Standing Inaccuracy + InaccuracyMove</t>
        </r>
      </text>
    </comment>
    <comment ref="F28" authorId="0" shapeId="0" xr:uid="{00000000-0006-0000-0200-000040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28" authorId="0" shapeId="0" xr:uid="{00000000-0006-0000-0200-000041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28" authorId="0" shapeId="0" xr:uid="{00000000-0006-0000-0200-000042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28" authorId="0" shapeId="0" xr:uid="{00000000-0006-0000-0200-000043000000}">
      <text>
        <r>
          <rPr>
            <sz val="10"/>
            <color rgb="FF000000"/>
            <rFont val="Arial"/>
          </rPr>
          <t>Damage*1</t>
        </r>
      </text>
    </comment>
    <comment ref="BA28" authorId="0" shapeId="0" xr:uid="{00000000-0006-0000-0200-000044000000}">
      <text>
        <r>
          <rPr>
            <sz val="10"/>
            <color rgb="FF000000"/>
            <rFont val="Arial"/>
          </rPr>
          <t>Damage*4</t>
        </r>
      </text>
    </comment>
    <comment ref="BB28" authorId="0" shapeId="0" xr:uid="{00000000-0006-0000-0200-000045000000}">
      <text>
        <r>
          <rPr>
            <sz val="10"/>
            <color rgb="FF000000"/>
            <rFont val="Arial"/>
          </rPr>
          <t>Damage*1.25</t>
        </r>
      </text>
    </comment>
    <comment ref="BC28" authorId="0" shapeId="0" xr:uid="{00000000-0006-0000-0200-000046000000}">
      <text>
        <r>
          <rPr>
            <sz val="10"/>
            <color rgb="FF000000"/>
            <rFont val="Arial"/>
          </rPr>
          <t>Damage*0.75</t>
        </r>
      </text>
    </comment>
    <comment ref="BD28" authorId="0" shapeId="0" xr:uid="{00000000-0006-0000-0200-000047000000}">
      <text>
        <r>
          <rPr>
            <sz val="10"/>
            <color rgb="FF000000"/>
            <rFont val="Arial"/>
          </rPr>
          <t>Damage*1*(ArmorRatio/2)</t>
        </r>
      </text>
    </comment>
    <comment ref="BE28" authorId="0" shapeId="0" xr:uid="{00000000-0006-0000-0200-000048000000}">
      <text>
        <r>
          <rPr>
            <sz val="10"/>
            <color rgb="FF000000"/>
            <rFont val="Arial"/>
          </rPr>
          <t>Damage*4*(ArmorRatio/2)</t>
        </r>
      </text>
    </comment>
    <comment ref="BF28" authorId="0" shapeId="0" xr:uid="{00000000-0006-0000-0200-000049000000}">
      <text>
        <r>
          <rPr>
            <sz val="10"/>
            <color rgb="FF000000"/>
            <rFont val="Arial"/>
          </rPr>
          <t>Damage*1.25*(ArmorRatio/2)</t>
        </r>
      </text>
    </comment>
    <comment ref="A29" authorId="0" shapeId="0" xr:uid="{00000000-0006-0000-0200-00004A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200-00004B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200-00004C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200-00004D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200-00004E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200-00004F000000}">
      <text>
        <r>
          <rPr>
            <sz val="10"/>
            <color rgb="FF000000"/>
            <rFont val="Arial"/>
          </rPr>
          <t>M4A1-S (Silencer Equipped)</t>
        </r>
      </text>
    </comment>
    <comment ref="A35" authorId="0" shapeId="0" xr:uid="{00000000-0006-0000-0200-000050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200-000051000000}">
      <text>
        <r>
          <rPr>
            <sz val="10"/>
            <color rgb="FF000000"/>
            <rFont val="Arial"/>
          </rPr>
          <t>Spread + InaccuracyCrouch</t>
        </r>
      </text>
    </comment>
    <comment ref="C37" authorId="0" shapeId="0" xr:uid="{00000000-0006-0000-0200-000052000000}">
      <text>
        <r>
          <rPr>
            <sz val="10"/>
            <color rgb="FF000000"/>
            <rFont val="Arial"/>
          </rPr>
          <t>Spread + InaccuracyStand</t>
        </r>
      </text>
    </comment>
    <comment ref="D37" authorId="0" shapeId="0" xr:uid="{00000000-0006-0000-0200-000053000000}">
      <text>
        <r>
          <rPr>
            <sz val="10"/>
            <color rgb="FF000000"/>
            <rFont val="Arial"/>
          </rPr>
          <t>Standing Inaccuracy + InaccuracyMove</t>
        </r>
      </text>
    </comment>
    <comment ref="F37" authorId="0" shapeId="0" xr:uid="{00000000-0006-0000-0200-000054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37" authorId="0" shapeId="0" xr:uid="{00000000-0006-0000-0200-000055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37" authorId="0" shapeId="0" xr:uid="{00000000-0006-0000-0200-000056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37" authorId="0" shapeId="0" xr:uid="{00000000-0006-0000-0200-000057000000}">
      <text>
        <r>
          <rPr>
            <sz val="10"/>
            <color rgb="FF000000"/>
            <rFont val="Arial"/>
          </rPr>
          <t>Damage*1</t>
        </r>
      </text>
    </comment>
    <comment ref="BA37" authorId="0" shapeId="0" xr:uid="{00000000-0006-0000-0200-000058000000}">
      <text>
        <r>
          <rPr>
            <sz val="10"/>
            <color rgb="FF000000"/>
            <rFont val="Arial"/>
          </rPr>
          <t>Damage*4</t>
        </r>
      </text>
    </comment>
    <comment ref="BB37" authorId="0" shapeId="0" xr:uid="{00000000-0006-0000-0200-000059000000}">
      <text>
        <r>
          <rPr>
            <sz val="10"/>
            <color rgb="FF000000"/>
            <rFont val="Arial"/>
          </rPr>
          <t>Damage*1.25</t>
        </r>
      </text>
    </comment>
    <comment ref="BC37" authorId="0" shapeId="0" xr:uid="{00000000-0006-0000-0200-00005A000000}">
      <text>
        <r>
          <rPr>
            <sz val="10"/>
            <color rgb="FF000000"/>
            <rFont val="Arial"/>
          </rPr>
          <t>Damage*0.75</t>
        </r>
      </text>
    </comment>
    <comment ref="BD37" authorId="0" shapeId="0" xr:uid="{00000000-0006-0000-0200-00005B000000}">
      <text>
        <r>
          <rPr>
            <sz val="10"/>
            <color rgb="FF000000"/>
            <rFont val="Arial"/>
          </rPr>
          <t>Damage*1*(ArmorRatio/2)</t>
        </r>
      </text>
    </comment>
    <comment ref="BE37" authorId="0" shapeId="0" xr:uid="{00000000-0006-0000-0200-00005C000000}">
      <text>
        <r>
          <rPr>
            <sz val="10"/>
            <color rgb="FF000000"/>
            <rFont val="Arial"/>
          </rPr>
          <t>Damage*4*(ArmorRatio/2)</t>
        </r>
      </text>
    </comment>
    <comment ref="BF37" authorId="0" shapeId="0" xr:uid="{00000000-0006-0000-0200-00005D000000}">
      <text>
        <r>
          <rPr>
            <sz val="10"/>
            <color rgb="FF000000"/>
            <rFont val="Arial"/>
          </rPr>
          <t>Damage*1.25*(ArmorRatio/2)</t>
        </r>
      </text>
    </comment>
    <comment ref="A38" authorId="0" shapeId="0" xr:uid="{00000000-0006-0000-0200-00005E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200-00005F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200-000060000000}">
      <text>
        <r>
          <rPr>
            <sz val="10"/>
            <color rgb="FF000000"/>
            <rFont val="Arial"/>
          </rPr>
          <t>Spread + InaccuracyCrouch</t>
        </r>
      </text>
    </comment>
    <comment ref="C41" authorId="0" shapeId="0" xr:uid="{00000000-0006-0000-0200-000061000000}">
      <text>
        <r>
          <rPr>
            <sz val="10"/>
            <color rgb="FF000000"/>
            <rFont val="Arial"/>
          </rPr>
          <t>Spread + InaccuracyStand</t>
        </r>
      </text>
    </comment>
    <comment ref="D41" authorId="0" shapeId="0" xr:uid="{00000000-0006-0000-0200-000062000000}">
      <text>
        <r>
          <rPr>
            <sz val="10"/>
            <color rgb="FF000000"/>
            <rFont val="Arial"/>
          </rPr>
          <t>Standing Inaccuracy + InaccuracyMove</t>
        </r>
      </text>
    </comment>
    <comment ref="F41" authorId="0" shapeId="0" xr:uid="{00000000-0006-0000-0200-000063000000}">
      <text>
        <r>
          <rPr>
            <sz val="10"/>
            <color rgb="FF000000"/>
            <rFont val="Arial"/>
          </rPr>
          <t>Crouching Inaccuracy + Maximum Firing Inaccuracy(Crouching)</t>
        </r>
      </text>
    </comment>
    <comment ref="G41" authorId="0" shapeId="0" xr:uid="{00000000-0006-0000-0200-000064000000}">
      <text>
        <r>
          <rPr>
            <sz val="10"/>
            <color rgb="FF000000"/>
            <rFont val="Arial"/>
          </rPr>
          <t>Standing Inaccuracy + Maximum Firing Inaccuracy(Standing)</t>
        </r>
      </text>
    </comment>
    <comment ref="H41" authorId="0" shapeId="0" xr:uid="{00000000-0006-0000-0200-000065000000}">
      <text>
        <r>
          <rPr>
            <sz val="10"/>
            <color rgb="FF000000"/>
            <rFont val="Arial"/>
          </rPr>
          <t>Running Inaccuracy + 
Maximum Firing Inaccuracy(Standing)</t>
        </r>
      </text>
    </comment>
    <comment ref="AZ41" authorId="0" shapeId="0" xr:uid="{00000000-0006-0000-0200-000066000000}">
      <text>
        <r>
          <rPr>
            <sz val="10"/>
            <color rgb="FF000000"/>
            <rFont val="Arial"/>
          </rPr>
          <t>Damage*1</t>
        </r>
      </text>
    </comment>
    <comment ref="BA41" authorId="0" shapeId="0" xr:uid="{00000000-0006-0000-0200-000067000000}">
      <text>
        <r>
          <rPr>
            <sz val="10"/>
            <color rgb="FF000000"/>
            <rFont val="Arial"/>
          </rPr>
          <t>Damage*4</t>
        </r>
      </text>
    </comment>
    <comment ref="BB41" authorId="0" shapeId="0" xr:uid="{00000000-0006-0000-0200-000068000000}">
      <text>
        <r>
          <rPr>
            <sz val="10"/>
            <color rgb="FF000000"/>
            <rFont val="Arial"/>
          </rPr>
          <t>Damage*1.25</t>
        </r>
      </text>
    </comment>
    <comment ref="BC41" authorId="0" shapeId="0" xr:uid="{00000000-0006-0000-0200-000069000000}">
      <text>
        <r>
          <rPr>
            <sz val="10"/>
            <color rgb="FF000000"/>
            <rFont val="Arial"/>
          </rPr>
          <t>Damage*0.75</t>
        </r>
      </text>
    </comment>
    <comment ref="BD41" authorId="0" shapeId="0" xr:uid="{00000000-0006-0000-0200-00006A000000}">
      <text>
        <r>
          <rPr>
            <sz val="10"/>
            <color rgb="FF000000"/>
            <rFont val="Arial"/>
          </rPr>
          <t>Damage*1*(ArmorRatio/2)</t>
        </r>
      </text>
    </comment>
    <comment ref="BE41" authorId="0" shapeId="0" xr:uid="{00000000-0006-0000-0200-00006B000000}">
      <text>
        <r>
          <rPr>
            <sz val="10"/>
            <color rgb="FF000000"/>
            <rFont val="Arial"/>
          </rPr>
          <t>Damage*4*(ArmorRatio/2)</t>
        </r>
      </text>
    </comment>
    <comment ref="BF41" authorId="0" shapeId="0" xr:uid="{00000000-0006-0000-0200-00006C000000}">
      <text>
        <r>
          <rPr>
            <sz val="10"/>
            <color rgb="FF000000"/>
            <rFont val="Arial"/>
          </rPr>
          <t>Damage*1.25*(ArmorRatio/2)</t>
        </r>
      </text>
    </comment>
    <comment ref="A42" authorId="0" shapeId="0" xr:uid="{00000000-0006-0000-0200-00006D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200-00006E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200-00006F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200-000070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</rPr>
          <t>additional inaccuracy after firing</t>
        </r>
      </text>
    </comment>
    <comment ref="D1" authorId="0" shapeId="0" xr:uid="{00000000-0006-0000-0300-000003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" authorId="0" shapeId="0" xr:uid="{00000000-0006-0000-0300-000004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300-000005000000}">
      <text>
        <r>
          <rPr>
            <sz val="10"/>
            <color rgb="FF000000"/>
            <rFont val="Arial"/>
          </rPr>
          <t>R8 Revolver</t>
        </r>
      </text>
    </comment>
    <comment ref="B3" authorId="0" shapeId="0" xr:uid="{00000000-0006-0000-0300-000006000000}">
      <text>
        <r>
          <rPr>
            <sz val="10"/>
            <color rgb="FF000000"/>
            <rFont val="Arial"/>
          </rPr>
          <t>CycleTimeAlt: 0.4 is used for calculations</t>
        </r>
      </text>
    </comment>
    <comment ref="C3" authorId="0" shapeId="0" xr:uid="{00000000-0006-0000-0300-000007000000}">
      <text>
        <r>
          <rPr>
            <sz val="10"/>
            <color rgb="FF000000"/>
            <rFont val="Arial"/>
          </rPr>
          <t>InaccuracyFireAlt: 55.00  is used for these calculations</t>
        </r>
      </text>
    </comment>
    <comment ref="A4" authorId="0" shapeId="0" xr:uid="{00000000-0006-0000-0300-000008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300-000009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300-00000A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300-00000B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300-00000C000000}">
      <text>
        <r>
          <rPr>
            <sz val="10"/>
            <color rgb="FF000000"/>
            <rFont val="Arial"/>
          </rPr>
          <t>(silencer equipped)</t>
        </r>
      </text>
    </comment>
    <comment ref="C8" authorId="0" shapeId="0" xr:uid="{00000000-0006-0000-0300-00000D000000}">
      <text>
        <r>
          <rPr>
            <sz val="10"/>
            <color rgb="FF000000"/>
            <rFont val="Arial"/>
          </rPr>
          <t>InaccuracyFireAlt: 52.00  is used for these calculations</t>
        </r>
      </text>
    </comment>
    <comment ref="A9" authorId="0" shapeId="0" xr:uid="{00000000-0006-0000-0300-00000E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300-00000F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300-000010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300-00001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3" authorId="0" shapeId="0" xr:uid="{00000000-0006-0000-0300-000012000000}">
      <text>
        <r>
          <rPr>
            <sz val="10"/>
            <color rgb="FF000000"/>
            <rFont val="Arial"/>
          </rPr>
          <t>additional inaccuracy after firing</t>
        </r>
      </text>
    </comment>
    <comment ref="D13" authorId="0" shapeId="0" xr:uid="{00000000-0006-0000-0300-000013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14" authorId="0" shapeId="0" xr:uid="{00000000-0006-0000-0300-000014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300-000015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300-000016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300-000017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300-000018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9" authorId="0" shapeId="0" xr:uid="{00000000-0006-0000-0300-000019000000}">
      <text>
        <r>
          <rPr>
            <sz val="10"/>
            <color rgb="FF000000"/>
            <rFont val="Arial"/>
          </rPr>
          <t>additional inaccuracy after firing</t>
        </r>
      </text>
    </comment>
    <comment ref="D19" authorId="0" shapeId="0" xr:uid="{00000000-0006-0000-0300-00001A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0" authorId="0" shapeId="0" xr:uid="{00000000-0006-0000-0300-00001B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300-00001C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300-00001D000000}">
      <text>
        <r>
          <rPr>
            <sz val="10"/>
            <color rgb="FF000000"/>
            <rFont val="Arial"/>
          </rPr>
          <t>MP7</t>
        </r>
      </text>
    </comment>
    <comment ref="A24" authorId="0" shapeId="0" xr:uid="{00000000-0006-0000-0300-00001E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300-00001F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300-000020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300-00002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28" authorId="0" shapeId="0" xr:uid="{00000000-0006-0000-0300-000022000000}">
      <text>
        <r>
          <rPr>
            <sz val="10"/>
            <color rgb="FF000000"/>
            <rFont val="Arial"/>
          </rPr>
          <t>additional inaccuracy after firing</t>
        </r>
      </text>
    </comment>
    <comment ref="D28" authorId="0" shapeId="0" xr:uid="{00000000-0006-0000-0300-000023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9" authorId="0" shapeId="0" xr:uid="{00000000-0006-0000-0300-000024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300-000025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300-000026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300-000027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300-000028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300-000029000000}">
      <text>
        <r>
          <rPr>
            <sz val="10"/>
            <color rgb="FF000000"/>
            <rFont val="Arial"/>
          </rPr>
          <t>M4A1-S</t>
        </r>
      </text>
    </comment>
    <comment ref="C34" authorId="0" shapeId="0" xr:uid="{00000000-0006-0000-0300-00002A000000}">
      <text>
        <r>
          <rPr>
            <sz val="10"/>
            <color rgb="FF000000"/>
            <rFont val="Arial"/>
          </rPr>
          <t>InaccuracyFireAlt: 7.00  is used for these calculations</t>
        </r>
      </text>
    </comment>
    <comment ref="A35" authorId="0" shapeId="0" xr:uid="{00000000-0006-0000-0300-00002B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300-00002C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37" authorId="0" shapeId="0" xr:uid="{00000000-0006-0000-0300-00002D000000}">
      <text>
        <r>
          <rPr>
            <sz val="10"/>
            <color rgb="FF000000"/>
            <rFont val="Arial"/>
          </rPr>
          <t>additional inaccuracy after firing</t>
        </r>
      </text>
    </comment>
    <comment ref="D37" authorId="0" shapeId="0" xr:uid="{00000000-0006-0000-0300-00002E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38" authorId="0" shapeId="0" xr:uid="{00000000-0006-0000-0300-00002F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300-000030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300-00003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41" authorId="0" shapeId="0" xr:uid="{00000000-0006-0000-0300-000032000000}">
      <text>
        <r>
          <rPr>
            <sz val="10"/>
            <color rgb="FF000000"/>
            <rFont val="Arial"/>
          </rPr>
          <t>additional inaccuracy after firing</t>
        </r>
      </text>
    </comment>
    <comment ref="D41" authorId="0" shapeId="0" xr:uid="{00000000-0006-0000-0300-000033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42" authorId="0" shapeId="0" xr:uid="{00000000-0006-0000-0300-000034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300-000035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300-000036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300-000037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A2" authorId="0" shapeId="0" xr:uid="{00000000-0006-0000-0400-000002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400-000003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400-000004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400-000005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400-000006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400-000007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400-000008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400-000009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400-00000A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400-00000B000000}">
      <text>
        <r>
          <rPr>
            <sz val="10"/>
            <color rgb="FF000000"/>
            <rFont val="Arial"/>
          </rPr>
          <t>Tec-9</t>
        </r>
      </text>
    </comment>
    <comment ref="A14" authorId="0" shapeId="0" xr:uid="{00000000-0006-0000-0400-00000C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400-00000D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400-00000E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400-00000F000000}">
      <text>
        <r>
          <rPr>
            <sz val="10"/>
            <color rgb="FF000000"/>
            <rFont val="Arial"/>
          </rPr>
          <t>XM1014</t>
        </r>
      </text>
    </comment>
    <comment ref="A20" authorId="0" shapeId="0" xr:uid="{00000000-0006-0000-0400-000010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400-000011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400-000012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400-000013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400-000014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400-000015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400-000016000000}">
      <text>
        <r>
          <rPr>
            <sz val="10"/>
            <color rgb="FF000000"/>
            <rFont val="Arial"/>
          </rPr>
          <t>UMP-45</t>
        </r>
      </text>
    </comment>
    <comment ref="A29" authorId="0" shapeId="0" xr:uid="{00000000-0006-0000-0400-000017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400-000018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400-000019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400-00001A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400-00001B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400-00001C000000}">
      <text>
        <r>
          <rPr>
            <sz val="10"/>
            <color rgb="FF000000"/>
            <rFont val="Arial"/>
          </rPr>
          <t>M4A1-S</t>
        </r>
      </text>
    </comment>
    <comment ref="A35" authorId="0" shapeId="0" xr:uid="{00000000-0006-0000-0400-00001D000000}">
      <text>
        <r>
          <rPr>
            <sz val="10"/>
            <color rgb="FF000000"/>
            <rFont val="Arial"/>
          </rPr>
          <t>SG 553</t>
        </r>
      </text>
    </comment>
    <comment ref="A38" authorId="0" shapeId="0" xr:uid="{00000000-0006-0000-0400-00001E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400-00001F000000}">
      <text>
        <r>
          <rPr>
            <sz val="10"/>
            <color rgb="FF000000"/>
            <rFont val="Arial"/>
          </rPr>
          <t>Negev</t>
        </r>
      </text>
    </comment>
    <comment ref="A42" authorId="0" shapeId="0" xr:uid="{00000000-0006-0000-0400-000020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400-000021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400-000022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400-000023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" authorId="0" shapeId="0" xr:uid="{00000000-0006-0000-0500-000002000000}">
      <text>
        <r>
          <rPr>
            <sz val="10"/>
            <color rgb="FF000000"/>
            <rFont val="Arial"/>
          </rPr>
          <t>additional inaccuracy after firing</t>
        </r>
      </text>
    </comment>
    <comment ref="D1" authorId="0" shapeId="0" xr:uid="{00000000-0006-0000-0500-000003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" authorId="0" shapeId="0" xr:uid="{00000000-0006-0000-0500-000004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500-000005000000}">
      <text>
        <r>
          <rPr>
            <sz val="10"/>
            <color rgb="FF000000"/>
            <rFont val="Arial"/>
          </rPr>
          <t>R8 Revolver</t>
        </r>
      </text>
    </comment>
    <comment ref="B3" authorId="0" shapeId="0" xr:uid="{00000000-0006-0000-0500-000006000000}">
      <text>
        <r>
          <rPr>
            <sz val="10"/>
            <color rgb="FF000000"/>
            <rFont val="Arial"/>
          </rPr>
          <t>CycleTimeAlt: 0.4 is used for calculations</t>
        </r>
      </text>
    </comment>
    <comment ref="C3" authorId="0" shapeId="0" xr:uid="{00000000-0006-0000-0500-000007000000}">
      <text>
        <r>
          <rPr>
            <sz val="10"/>
            <color rgb="FF000000"/>
            <rFont val="Arial"/>
          </rPr>
          <t>InaccuracyFireAlt: 55.00  is used for these calculations</t>
        </r>
      </text>
    </comment>
    <comment ref="A4" authorId="0" shapeId="0" xr:uid="{00000000-0006-0000-0500-000008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500-000009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500-00000A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500-00000B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500-00000C000000}">
      <text>
        <r>
          <rPr>
            <sz val="10"/>
            <color rgb="FF000000"/>
            <rFont val="Arial"/>
          </rPr>
          <t>(silencer equipped)</t>
        </r>
      </text>
    </comment>
    <comment ref="C8" authorId="0" shapeId="0" xr:uid="{00000000-0006-0000-0500-00000D000000}">
      <text>
        <r>
          <rPr>
            <sz val="10"/>
            <color rgb="FF000000"/>
            <rFont val="Arial"/>
          </rPr>
          <t>InaccuracyFireAlt: 52.00  is used for these calculations</t>
        </r>
      </text>
    </comment>
    <comment ref="A9" authorId="0" shapeId="0" xr:uid="{00000000-0006-0000-0500-00000E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500-00000F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500-000010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500-00001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3" authorId="0" shapeId="0" xr:uid="{00000000-0006-0000-0500-000012000000}">
      <text>
        <r>
          <rPr>
            <sz val="10"/>
            <color rgb="FF000000"/>
            <rFont val="Arial"/>
          </rPr>
          <t>additional inaccuracy after firing</t>
        </r>
      </text>
    </comment>
    <comment ref="D13" authorId="0" shapeId="0" xr:uid="{00000000-0006-0000-0500-000013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14" authorId="0" shapeId="0" xr:uid="{00000000-0006-0000-0500-000014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500-000015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500-000016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500-000017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500-000018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9" authorId="0" shapeId="0" xr:uid="{00000000-0006-0000-0500-000019000000}">
      <text>
        <r>
          <rPr>
            <sz val="10"/>
            <color rgb="FF000000"/>
            <rFont val="Arial"/>
          </rPr>
          <t>additional inaccuracy after firing</t>
        </r>
      </text>
    </comment>
    <comment ref="D19" authorId="0" shapeId="0" xr:uid="{00000000-0006-0000-0500-00001A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20" authorId="0" shapeId="0" xr:uid="{00000000-0006-0000-0500-00001B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500-00001C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500-00001D000000}">
      <text>
        <r>
          <rPr>
            <sz val="10"/>
            <color rgb="FF000000"/>
            <rFont val="Arial"/>
          </rPr>
          <t>MP7</t>
        </r>
      </text>
    </comment>
    <comment ref="A24" authorId="0" shapeId="0" xr:uid="{00000000-0006-0000-0500-00001E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500-00001F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500-000020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500-00002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28" authorId="0" shapeId="0" xr:uid="{00000000-0006-0000-0500-000022000000}">
      <text>
        <r>
          <rPr>
            <sz val="10"/>
            <color rgb="FF000000"/>
            <rFont val="Arial"/>
          </rPr>
          <t>additional inaccuracy after firing</t>
        </r>
      </text>
    </comment>
    <comment ref="D28" authorId="0" shapeId="0" xr:uid="{00000000-0006-0000-0500-000023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29" authorId="0" shapeId="0" xr:uid="{00000000-0006-0000-0500-000024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500-000025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500-000026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500-000027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500-000028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500-000029000000}">
      <text>
        <r>
          <rPr>
            <sz val="10"/>
            <color rgb="FF000000"/>
            <rFont val="Arial"/>
          </rPr>
          <t>M4A1-S</t>
        </r>
      </text>
    </comment>
    <comment ref="C34" authorId="0" shapeId="0" xr:uid="{00000000-0006-0000-0500-00002A000000}">
      <text>
        <r>
          <rPr>
            <sz val="10"/>
            <color rgb="FF000000"/>
            <rFont val="Arial"/>
          </rPr>
          <t>InaccuracyFireAlt: 7.00  is used for these calculations</t>
        </r>
      </text>
    </comment>
    <comment ref="A35" authorId="0" shapeId="0" xr:uid="{00000000-0006-0000-0500-00002B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500-00002C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37" authorId="0" shapeId="0" xr:uid="{00000000-0006-0000-0500-00002D000000}">
      <text>
        <r>
          <rPr>
            <sz val="10"/>
            <color rgb="FF000000"/>
            <rFont val="Arial"/>
          </rPr>
          <t>additional inaccuracy after firing</t>
        </r>
      </text>
    </comment>
    <comment ref="D37" authorId="0" shapeId="0" xr:uid="{00000000-0006-0000-0500-00002E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38" authorId="0" shapeId="0" xr:uid="{00000000-0006-0000-0500-00002F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500-000030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500-00003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41" authorId="0" shapeId="0" xr:uid="{00000000-0006-0000-0500-000032000000}">
      <text>
        <r>
          <rPr>
            <sz val="10"/>
            <color rgb="FF000000"/>
            <rFont val="Arial"/>
          </rPr>
          <t>additional inaccuracy after firing</t>
        </r>
      </text>
    </comment>
    <comment ref="D41" authorId="0" shapeId="0" xr:uid="{00000000-0006-0000-0500-000033000000}">
      <text>
        <r>
          <rPr>
            <sz val="10"/>
            <color rgb="FF000000"/>
            <rFont val="Arial"/>
          </rPr>
          <t>when crouching it is the decay rate for InaccuracyFire, InaccuracyJump, InaccuracyLand, the difference between InaccuracyStand and InaccuracyCrouch and the difference between InaccuracyCrouch and InaccuracyCrouchAlt using the following formula: ‘Inacc * (0.1 ^ (time/RecoveryTime))’</t>
        </r>
      </text>
    </comment>
    <comment ref="A42" authorId="0" shapeId="0" xr:uid="{00000000-0006-0000-0500-000034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500-000035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500-000036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500-000037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600-00000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" authorId="0" shapeId="0" xr:uid="{00000000-0006-0000-0600-000002000000}">
      <text>
        <r>
          <rPr>
            <sz val="10"/>
            <color rgb="FF000000"/>
            <rFont val="Arial"/>
          </rPr>
          <t>additional inaccuracy after firing</t>
        </r>
      </text>
    </comment>
    <comment ref="D1" authorId="0" shapeId="0" xr:uid="{00000000-0006-0000-0600-000003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2" authorId="0" shapeId="0" xr:uid="{00000000-0006-0000-0600-000004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600-000005000000}">
      <text>
        <r>
          <rPr>
            <sz val="10"/>
            <color rgb="FF000000"/>
            <rFont val="Arial"/>
          </rPr>
          <t>R8 Revolver</t>
        </r>
      </text>
    </comment>
    <comment ref="B3" authorId="0" shapeId="0" xr:uid="{00000000-0006-0000-0600-000006000000}">
      <text>
        <r>
          <rPr>
            <sz val="10"/>
            <color rgb="FF000000"/>
            <rFont val="Arial"/>
          </rPr>
          <t>CycleTimeAlt: 0.4 is used for calculations</t>
        </r>
      </text>
    </comment>
    <comment ref="C3" authorId="0" shapeId="0" xr:uid="{00000000-0006-0000-0600-000007000000}">
      <text>
        <r>
          <rPr>
            <sz val="10"/>
            <color rgb="FF000000"/>
            <rFont val="Arial"/>
          </rPr>
          <t>InaccuracyFireAlt: 55.00  is used for these calculations</t>
        </r>
      </text>
    </comment>
    <comment ref="A4" authorId="0" shapeId="0" xr:uid="{00000000-0006-0000-0600-000008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600-000009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600-00000A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600-00000B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600-00000C000000}">
      <text>
        <r>
          <rPr>
            <sz val="10"/>
            <color rgb="FF000000"/>
            <rFont val="Arial"/>
          </rPr>
          <t>(silencer equipped)</t>
        </r>
      </text>
    </comment>
    <comment ref="C8" authorId="0" shapeId="0" xr:uid="{00000000-0006-0000-0600-00000D000000}">
      <text>
        <r>
          <rPr>
            <sz val="10"/>
            <color rgb="FF000000"/>
            <rFont val="Arial"/>
          </rPr>
          <t>InaccuracyFireAlt: 52.00  is used for these calculations</t>
        </r>
      </text>
    </comment>
    <comment ref="A9" authorId="0" shapeId="0" xr:uid="{00000000-0006-0000-0600-00000E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600-00000F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600-000010000000}">
      <text>
        <r>
          <rPr>
            <sz val="10"/>
            <color rgb="FF000000"/>
            <rFont val="Arial"/>
          </rPr>
          <t>Tec-9</t>
        </r>
      </text>
    </comment>
    <comment ref="B13" authorId="0" shapeId="0" xr:uid="{00000000-0006-0000-0600-000011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3" authorId="0" shapeId="0" xr:uid="{00000000-0006-0000-0600-000012000000}">
      <text>
        <r>
          <rPr>
            <sz val="10"/>
            <color rgb="FF000000"/>
            <rFont val="Arial"/>
          </rPr>
          <t>additional inaccuracy after firing</t>
        </r>
      </text>
    </comment>
    <comment ref="D13" authorId="0" shapeId="0" xr:uid="{00000000-0006-0000-0600-000013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14" authorId="0" shapeId="0" xr:uid="{00000000-0006-0000-0600-000014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600-000015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600-000016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600-000017000000}">
      <text>
        <r>
          <rPr>
            <sz val="10"/>
            <color rgb="FF000000"/>
            <rFont val="Arial"/>
          </rPr>
          <t>XM1014</t>
        </r>
      </text>
    </comment>
    <comment ref="B19" authorId="0" shapeId="0" xr:uid="{00000000-0006-0000-0600-000018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19" authorId="0" shapeId="0" xr:uid="{00000000-0006-0000-0600-000019000000}">
      <text>
        <r>
          <rPr>
            <sz val="10"/>
            <color rgb="FF000000"/>
            <rFont val="Arial"/>
          </rPr>
          <t>additional inaccuracy after firing</t>
        </r>
      </text>
    </comment>
    <comment ref="D19" authorId="0" shapeId="0" xr:uid="{00000000-0006-0000-0600-00001A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20" authorId="0" shapeId="0" xr:uid="{00000000-0006-0000-0600-00001B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600-00001C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600-00001D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600-00001E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600-00001F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600-000020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600-000021000000}">
      <text>
        <r>
          <rPr>
            <sz val="10"/>
            <color rgb="FF000000"/>
            <rFont val="Arial"/>
          </rPr>
          <t>UMP-45</t>
        </r>
      </text>
    </comment>
    <comment ref="B28" authorId="0" shapeId="0" xr:uid="{00000000-0006-0000-0600-000022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28" authorId="0" shapeId="0" xr:uid="{00000000-0006-0000-0600-000023000000}">
      <text>
        <r>
          <rPr>
            <sz val="10"/>
            <color rgb="FF000000"/>
            <rFont val="Arial"/>
          </rPr>
          <t>additional inaccuracy after firing</t>
        </r>
      </text>
    </comment>
    <comment ref="D28" authorId="0" shapeId="0" xr:uid="{00000000-0006-0000-0600-000024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29" authorId="0" shapeId="0" xr:uid="{00000000-0006-0000-0600-000025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600-000026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600-000027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600-000028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600-000029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600-00002A000000}">
      <text>
        <r>
          <rPr>
            <sz val="10"/>
            <color rgb="FF000000"/>
            <rFont val="Arial"/>
          </rPr>
          <t>M4A1-S</t>
        </r>
      </text>
    </comment>
    <comment ref="C34" authorId="0" shapeId="0" xr:uid="{00000000-0006-0000-0600-00002B000000}">
      <text>
        <r>
          <rPr>
            <sz val="10"/>
            <color rgb="FF000000"/>
            <rFont val="Arial"/>
          </rPr>
          <t>InaccuracyFireAlt: 7.00  is used for these calculations</t>
        </r>
      </text>
    </comment>
    <comment ref="A35" authorId="0" shapeId="0" xr:uid="{00000000-0006-0000-0600-00002C000000}">
      <text>
        <r>
          <rPr>
            <sz val="10"/>
            <color rgb="FF000000"/>
            <rFont val="Arial"/>
          </rPr>
          <t>SG 553</t>
        </r>
      </text>
    </comment>
    <comment ref="B37" authorId="0" shapeId="0" xr:uid="{00000000-0006-0000-0600-00002D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37" authorId="0" shapeId="0" xr:uid="{00000000-0006-0000-0600-00002E000000}">
      <text>
        <r>
          <rPr>
            <sz val="10"/>
            <color rgb="FF000000"/>
            <rFont val="Arial"/>
          </rPr>
          <t>additional inaccuracy after firing</t>
        </r>
      </text>
    </comment>
    <comment ref="D37" authorId="0" shapeId="0" xr:uid="{00000000-0006-0000-0600-00002F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38" authorId="0" shapeId="0" xr:uid="{00000000-0006-0000-0600-000030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600-000031000000}">
      <text>
        <r>
          <rPr>
            <sz val="10"/>
            <color rgb="FF000000"/>
            <rFont val="Arial"/>
          </rPr>
          <t>Negev</t>
        </r>
      </text>
    </comment>
    <comment ref="B41" authorId="0" shapeId="0" xr:uid="{00000000-0006-0000-0600-000032000000}">
      <text>
        <r>
          <rPr>
            <sz val="10"/>
            <color rgb="FF000000"/>
            <rFont val="Arial"/>
          </rPr>
          <t>minimum interval between firing next bullet(measured in seconds)</t>
        </r>
      </text>
    </comment>
    <comment ref="C41" authorId="0" shapeId="0" xr:uid="{00000000-0006-0000-0600-000033000000}">
      <text>
        <r>
          <rPr>
            <sz val="10"/>
            <color rgb="FF000000"/>
            <rFont val="Arial"/>
          </rPr>
          <t>additional inaccuracy after firing</t>
        </r>
      </text>
    </comment>
    <comment ref="D41" authorId="0" shapeId="0" xr:uid="{00000000-0006-0000-0600-000034000000}">
      <text>
        <r>
          <rPr>
            <sz val="10"/>
            <color rgb="FF000000"/>
            <rFont val="Arial"/>
          </rPr>
          <t>time taken for InaccuracyFire and InaccuracyLand to clear when crouched. Also time taken for: InaccuracyJump to clear; to shift from InaccuracyLadder to InaccuracyStand or InaccuracyCrouch; to shift from InaccuracyStand to InaccuracyCrouch and to shift from InaccuracyCrouch to InaccuracyCrouchAlt after zooming or switching to burst-fire mode.</t>
        </r>
      </text>
    </comment>
    <comment ref="A42" authorId="0" shapeId="0" xr:uid="{00000000-0006-0000-0600-000035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600-000036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600-000037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600-000038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700-000001000000}">
      <text>
        <r>
          <rPr>
            <sz val="10"/>
            <color rgb="FF000000"/>
            <rFont val="Arial"/>
          </rPr>
          <t>additional inaccuracy after firing</t>
        </r>
      </text>
    </comment>
    <comment ref="D1" authorId="0" shapeId="0" xr:uid="{00000000-0006-0000-0700-000002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" authorId="0" shapeId="0" xr:uid="{00000000-0006-0000-0700-000003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700-000004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700-000005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700-000006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700-000007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700-000008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700-000009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700-00000A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700-00000B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700-00000C000000}">
      <text>
        <r>
          <rPr>
            <sz val="10"/>
            <color rgb="FF000000"/>
            <rFont val="Arial"/>
          </rPr>
          <t>Tec-9</t>
        </r>
      </text>
    </comment>
    <comment ref="C13" authorId="0" shapeId="0" xr:uid="{00000000-0006-0000-0700-00000D000000}">
      <text>
        <r>
          <rPr>
            <sz val="10"/>
            <color rgb="FF000000"/>
            <rFont val="Arial"/>
          </rPr>
          <t>additional inaccuracy after firing</t>
        </r>
      </text>
    </comment>
    <comment ref="D13" authorId="0" shapeId="0" xr:uid="{00000000-0006-0000-0700-00000E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14" authorId="0" shapeId="0" xr:uid="{00000000-0006-0000-0700-00000F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700-000010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700-000011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700-000012000000}">
      <text>
        <r>
          <rPr>
            <sz val="10"/>
            <color rgb="FF000000"/>
            <rFont val="Arial"/>
          </rPr>
          <t>XM1014</t>
        </r>
      </text>
    </comment>
    <comment ref="C19" authorId="0" shapeId="0" xr:uid="{00000000-0006-0000-0700-000013000000}">
      <text>
        <r>
          <rPr>
            <sz val="10"/>
            <color rgb="FF000000"/>
            <rFont val="Arial"/>
          </rPr>
          <t>additional inaccuracy after firing</t>
        </r>
      </text>
    </comment>
    <comment ref="D19" authorId="0" shapeId="0" xr:uid="{00000000-0006-0000-0700-000014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0" authorId="0" shapeId="0" xr:uid="{00000000-0006-0000-0700-000015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700-000016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700-000017000000}">
      <text>
        <r>
          <rPr>
            <sz val="10"/>
            <color rgb="FF000000"/>
            <rFont val="Arial"/>
          </rPr>
          <t>MP7</t>
        </r>
      </text>
    </comment>
    <comment ref="A23" authorId="0" shapeId="0" xr:uid="{00000000-0006-0000-0700-000018000000}">
      <text>
        <r>
          <rPr>
            <sz val="10"/>
            <color rgb="FF000000"/>
            <rFont val="Arial"/>
          </rPr>
          <t>MP5-SD</t>
        </r>
      </text>
    </comment>
    <comment ref="A24" authorId="0" shapeId="0" xr:uid="{00000000-0006-0000-0700-000019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700-00001A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700-00001B000000}">
      <text>
        <r>
          <rPr>
            <sz val="10"/>
            <color rgb="FF000000"/>
            <rFont val="Arial"/>
          </rPr>
          <t>UMP-45</t>
        </r>
      </text>
    </comment>
    <comment ref="C28" authorId="0" shapeId="0" xr:uid="{00000000-0006-0000-0700-00001C000000}">
      <text>
        <r>
          <rPr>
            <sz val="10"/>
            <color rgb="FF000000"/>
            <rFont val="Arial"/>
          </rPr>
          <t>additional inaccuracy after firing</t>
        </r>
      </text>
    </comment>
    <comment ref="D28" authorId="0" shapeId="0" xr:uid="{00000000-0006-0000-0700-00001D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9" authorId="0" shapeId="0" xr:uid="{00000000-0006-0000-0700-00001E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700-00001F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700-000020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700-000021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700-000022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700-000023000000}">
      <text>
        <r>
          <rPr>
            <sz val="10"/>
            <color rgb="FF000000"/>
            <rFont val="Arial"/>
          </rPr>
          <t>M4A1-S</t>
        </r>
      </text>
    </comment>
    <comment ref="C34" authorId="0" shapeId="0" xr:uid="{00000000-0006-0000-0700-000024000000}">
      <text>
        <r>
          <rPr>
            <sz val="10"/>
            <color rgb="FF000000"/>
            <rFont val="Arial"/>
          </rPr>
          <t>InaccuracyFireAlt: 7.00  is used for these calculations</t>
        </r>
      </text>
    </comment>
    <comment ref="A35" authorId="0" shapeId="0" xr:uid="{00000000-0006-0000-0700-000025000000}">
      <text>
        <r>
          <rPr>
            <sz val="10"/>
            <color rgb="FF000000"/>
            <rFont val="Arial"/>
          </rPr>
          <t>SG 553</t>
        </r>
      </text>
    </comment>
    <comment ref="C37" authorId="0" shapeId="0" xr:uid="{00000000-0006-0000-0700-000026000000}">
      <text>
        <r>
          <rPr>
            <sz val="10"/>
            <color rgb="FF000000"/>
            <rFont val="Arial"/>
          </rPr>
          <t>additional inaccuracy after firing</t>
        </r>
      </text>
    </comment>
    <comment ref="D37" authorId="0" shapeId="0" xr:uid="{00000000-0006-0000-0700-000027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38" authorId="0" shapeId="0" xr:uid="{00000000-0006-0000-0700-000028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700-000029000000}">
      <text>
        <r>
          <rPr>
            <sz val="10"/>
            <color rgb="FF000000"/>
            <rFont val="Arial"/>
          </rPr>
          <t>Negev</t>
        </r>
      </text>
    </comment>
    <comment ref="C41" authorId="0" shapeId="0" xr:uid="{00000000-0006-0000-0700-00002A000000}">
      <text>
        <r>
          <rPr>
            <sz val="10"/>
            <color rgb="FF000000"/>
            <rFont val="Arial"/>
          </rPr>
          <t>additional inaccuracy after firing</t>
        </r>
      </text>
    </comment>
    <comment ref="D41" authorId="0" shapeId="0" xr:uid="{00000000-0006-0000-0700-00002B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42" authorId="0" shapeId="0" xr:uid="{00000000-0006-0000-0700-00002C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700-00002D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700-00002E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700-00002F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800-000001000000}">
      <text>
        <r>
          <rPr>
            <sz val="10"/>
            <color rgb="FF000000"/>
            <rFont val="Arial"/>
          </rPr>
          <t>additional inaccuracy after firing</t>
        </r>
      </text>
    </comment>
    <comment ref="D1" authorId="0" shapeId="0" xr:uid="{00000000-0006-0000-0800-000002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" authorId="0" shapeId="0" xr:uid="{00000000-0006-0000-0800-000003000000}">
      <text>
        <r>
          <rPr>
            <sz val="10"/>
            <color rgb="FF000000"/>
            <rFont val="Arial"/>
          </rPr>
          <t>Desert Eagle</t>
        </r>
      </text>
    </comment>
    <comment ref="A3" authorId="0" shapeId="0" xr:uid="{00000000-0006-0000-0800-000004000000}">
      <text>
        <r>
          <rPr>
            <sz val="10"/>
            <color rgb="FF000000"/>
            <rFont val="Arial"/>
          </rPr>
          <t>R8 Revolver</t>
        </r>
      </text>
    </comment>
    <comment ref="A4" authorId="0" shapeId="0" xr:uid="{00000000-0006-0000-0800-000005000000}">
      <text>
        <r>
          <rPr>
            <sz val="10"/>
            <color rgb="FF000000"/>
            <rFont val="Arial"/>
          </rPr>
          <t>Dual Berettas</t>
        </r>
      </text>
    </comment>
    <comment ref="A5" authorId="0" shapeId="0" xr:uid="{00000000-0006-0000-0800-000006000000}">
      <text>
        <r>
          <rPr>
            <sz val="10"/>
            <color rgb="FF000000"/>
            <rFont val="Arial"/>
          </rPr>
          <t>Five-SeveN</t>
        </r>
      </text>
    </comment>
    <comment ref="A6" authorId="0" shapeId="0" xr:uid="{00000000-0006-0000-0800-000007000000}">
      <text>
        <r>
          <rPr>
            <sz val="10"/>
            <color rgb="FF000000"/>
            <rFont val="Arial"/>
          </rPr>
          <t>Glock 18</t>
        </r>
      </text>
    </comment>
    <comment ref="A7" authorId="0" shapeId="0" xr:uid="{00000000-0006-0000-0800-000008000000}">
      <text>
        <r>
          <rPr>
            <sz val="10"/>
            <color rgb="FF000000"/>
            <rFont val="Arial"/>
          </rPr>
          <t>P2000</t>
        </r>
      </text>
    </comment>
    <comment ref="A8" authorId="0" shapeId="0" xr:uid="{00000000-0006-0000-0800-000009000000}">
      <text>
        <r>
          <rPr>
            <sz val="10"/>
            <color rgb="FF000000"/>
            <rFont val="Arial"/>
          </rPr>
          <t>(silencer equipped)</t>
        </r>
      </text>
    </comment>
    <comment ref="A9" authorId="0" shapeId="0" xr:uid="{00000000-0006-0000-0800-00000A000000}">
      <text>
        <r>
          <rPr>
            <sz val="10"/>
            <color rgb="FF000000"/>
            <rFont val="Arial"/>
          </rPr>
          <t>P250</t>
        </r>
      </text>
    </comment>
    <comment ref="A10" authorId="0" shapeId="0" xr:uid="{00000000-0006-0000-0800-00000B000000}">
      <text>
        <r>
          <rPr>
            <sz val="10"/>
            <color rgb="FF000000"/>
            <rFont val="Arial"/>
          </rPr>
          <t>CZ75 Auto</t>
        </r>
      </text>
    </comment>
    <comment ref="A11" authorId="0" shapeId="0" xr:uid="{00000000-0006-0000-0800-00000C000000}">
      <text>
        <r>
          <rPr>
            <sz val="10"/>
            <color rgb="FF000000"/>
            <rFont val="Arial"/>
          </rPr>
          <t>Tec-9</t>
        </r>
      </text>
    </comment>
    <comment ref="C13" authorId="0" shapeId="0" xr:uid="{00000000-0006-0000-0800-00000D000000}">
      <text>
        <r>
          <rPr>
            <sz val="10"/>
            <color rgb="FF000000"/>
            <rFont val="Arial"/>
          </rPr>
          <t>additional inaccuracy after firing</t>
        </r>
      </text>
    </comment>
    <comment ref="D13" authorId="0" shapeId="0" xr:uid="{00000000-0006-0000-0800-00000E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14" authorId="0" shapeId="0" xr:uid="{00000000-0006-0000-0800-00000F000000}">
      <text>
        <r>
          <rPr>
            <sz val="10"/>
            <color rgb="FF000000"/>
            <rFont val="Arial"/>
          </rPr>
          <t>MAG-7</t>
        </r>
      </text>
    </comment>
    <comment ref="A15" authorId="0" shapeId="0" xr:uid="{00000000-0006-0000-0800-000010000000}">
      <text>
        <r>
          <rPr>
            <sz val="10"/>
            <color rgb="FF000000"/>
            <rFont val="Arial"/>
          </rPr>
          <t>Nova</t>
        </r>
      </text>
    </comment>
    <comment ref="A16" authorId="0" shapeId="0" xr:uid="{00000000-0006-0000-0800-000011000000}">
      <text>
        <r>
          <rPr>
            <sz val="10"/>
            <color rgb="FF000000"/>
            <rFont val="Arial"/>
          </rPr>
          <t>Sawed-Off</t>
        </r>
      </text>
    </comment>
    <comment ref="A17" authorId="0" shapeId="0" xr:uid="{00000000-0006-0000-0800-000012000000}">
      <text>
        <r>
          <rPr>
            <sz val="10"/>
            <color rgb="FF000000"/>
            <rFont val="Arial"/>
          </rPr>
          <t>XM1014</t>
        </r>
      </text>
    </comment>
    <comment ref="C19" authorId="0" shapeId="0" xr:uid="{00000000-0006-0000-0800-000013000000}">
      <text>
        <r>
          <rPr>
            <sz val="10"/>
            <color rgb="FF000000"/>
            <rFont val="Arial"/>
          </rPr>
          <t>additional inaccuracy after firing</t>
        </r>
      </text>
    </comment>
    <comment ref="D19" authorId="0" shapeId="0" xr:uid="{00000000-0006-0000-0800-000014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0" authorId="0" shapeId="0" xr:uid="{00000000-0006-0000-0800-000015000000}">
      <text>
        <r>
          <rPr>
            <sz val="10"/>
            <color rgb="FF000000"/>
            <rFont val="Arial"/>
          </rPr>
          <t>PP-Bizon</t>
        </r>
      </text>
    </comment>
    <comment ref="A21" authorId="0" shapeId="0" xr:uid="{00000000-0006-0000-0800-000016000000}">
      <text>
        <r>
          <rPr>
            <sz val="10"/>
            <color rgb="FF000000"/>
            <rFont val="Arial"/>
          </rPr>
          <t>MAC-10</t>
        </r>
      </text>
    </comment>
    <comment ref="A22" authorId="0" shapeId="0" xr:uid="{00000000-0006-0000-0800-000017000000}">
      <text>
        <r>
          <rPr>
            <sz val="10"/>
            <color rgb="FF000000"/>
            <rFont val="Arial"/>
          </rPr>
          <t>MP7</t>
        </r>
      </text>
    </comment>
    <comment ref="A24" authorId="0" shapeId="0" xr:uid="{00000000-0006-0000-0800-000018000000}">
      <text>
        <r>
          <rPr>
            <sz val="10"/>
            <color rgb="FF000000"/>
            <rFont val="Arial"/>
          </rPr>
          <t>MP9</t>
        </r>
      </text>
    </comment>
    <comment ref="A25" authorId="0" shapeId="0" xr:uid="{00000000-0006-0000-0800-000019000000}">
      <text>
        <r>
          <rPr>
            <sz val="10"/>
            <color rgb="FF000000"/>
            <rFont val="Arial"/>
          </rPr>
          <t>P90</t>
        </r>
      </text>
    </comment>
    <comment ref="A26" authorId="0" shapeId="0" xr:uid="{00000000-0006-0000-0800-00001A000000}">
      <text>
        <r>
          <rPr>
            <sz val="10"/>
            <color rgb="FF000000"/>
            <rFont val="Arial"/>
          </rPr>
          <t>UMP-45</t>
        </r>
      </text>
    </comment>
    <comment ref="C28" authorId="0" shapeId="0" xr:uid="{00000000-0006-0000-0800-00001B000000}">
      <text>
        <r>
          <rPr>
            <sz val="10"/>
            <color rgb="FF000000"/>
            <rFont val="Arial"/>
          </rPr>
          <t>additional inaccuracy after firing</t>
        </r>
      </text>
    </comment>
    <comment ref="D28" authorId="0" shapeId="0" xr:uid="{00000000-0006-0000-0800-00001C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29" authorId="0" shapeId="0" xr:uid="{00000000-0006-0000-0800-00001D000000}">
      <text>
        <r>
          <rPr>
            <sz val="10"/>
            <color rgb="FF000000"/>
            <rFont val="Arial"/>
          </rPr>
          <t>AK-47</t>
        </r>
      </text>
    </comment>
    <comment ref="A30" authorId="0" shapeId="0" xr:uid="{00000000-0006-0000-0800-00001E000000}">
      <text>
        <r>
          <rPr>
            <sz val="10"/>
            <color rgb="FF000000"/>
            <rFont val="Arial"/>
          </rPr>
          <t>AUG</t>
        </r>
      </text>
    </comment>
    <comment ref="A31" authorId="0" shapeId="0" xr:uid="{00000000-0006-0000-0800-00001F000000}">
      <text>
        <r>
          <rPr>
            <sz val="10"/>
            <color rgb="FF000000"/>
            <rFont val="Arial"/>
          </rPr>
          <t>FAMAS</t>
        </r>
      </text>
    </comment>
    <comment ref="A32" authorId="0" shapeId="0" xr:uid="{00000000-0006-0000-0800-000020000000}">
      <text>
        <r>
          <rPr>
            <sz val="10"/>
            <color rgb="FF000000"/>
            <rFont val="Arial"/>
          </rPr>
          <t>Galil AR</t>
        </r>
      </text>
    </comment>
    <comment ref="A33" authorId="0" shapeId="0" xr:uid="{00000000-0006-0000-0800-000021000000}">
      <text>
        <r>
          <rPr>
            <sz val="10"/>
            <color rgb="FF000000"/>
            <rFont val="Arial"/>
          </rPr>
          <t>M4A4</t>
        </r>
      </text>
    </comment>
    <comment ref="A34" authorId="0" shapeId="0" xr:uid="{00000000-0006-0000-0800-000022000000}">
      <text>
        <r>
          <rPr>
            <sz val="10"/>
            <color rgb="FF000000"/>
            <rFont val="Arial"/>
          </rPr>
          <t>M4A1-S</t>
        </r>
      </text>
    </comment>
    <comment ref="C34" authorId="0" shapeId="0" xr:uid="{00000000-0006-0000-0800-000023000000}">
      <text>
        <r>
          <rPr>
            <sz val="10"/>
            <color rgb="FF000000"/>
            <rFont val="Arial"/>
          </rPr>
          <t>InaccuracyFireAlt: 7.00  is used for these calculations</t>
        </r>
      </text>
    </comment>
    <comment ref="A35" authorId="0" shapeId="0" xr:uid="{00000000-0006-0000-0800-000024000000}">
      <text>
        <r>
          <rPr>
            <sz val="10"/>
            <color rgb="FF000000"/>
            <rFont val="Arial"/>
          </rPr>
          <t>SG 553</t>
        </r>
      </text>
    </comment>
    <comment ref="C37" authorId="0" shapeId="0" xr:uid="{00000000-0006-0000-0800-000025000000}">
      <text>
        <r>
          <rPr>
            <sz val="10"/>
            <color rgb="FF000000"/>
            <rFont val="Arial"/>
          </rPr>
          <t>additional inaccuracy after firing</t>
        </r>
      </text>
    </comment>
    <comment ref="D37" authorId="0" shapeId="0" xr:uid="{00000000-0006-0000-0800-000026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38" authorId="0" shapeId="0" xr:uid="{00000000-0006-0000-0800-000027000000}">
      <text>
        <r>
          <rPr>
            <sz val="10"/>
            <color rgb="FF000000"/>
            <rFont val="Arial"/>
          </rPr>
          <t>M249</t>
        </r>
      </text>
    </comment>
    <comment ref="A39" authorId="0" shapeId="0" xr:uid="{00000000-0006-0000-0800-000028000000}">
      <text>
        <r>
          <rPr>
            <sz val="10"/>
            <color rgb="FF000000"/>
            <rFont val="Arial"/>
          </rPr>
          <t>Negev</t>
        </r>
      </text>
    </comment>
    <comment ref="C41" authorId="0" shapeId="0" xr:uid="{00000000-0006-0000-0800-000029000000}">
      <text>
        <r>
          <rPr>
            <sz val="10"/>
            <color rgb="FF000000"/>
            <rFont val="Arial"/>
          </rPr>
          <t>additional inaccuracy after firing</t>
        </r>
      </text>
    </comment>
    <comment ref="D41" authorId="0" shapeId="0" xr:uid="{00000000-0006-0000-0800-00002A000000}">
      <text>
        <r>
          <rPr>
            <sz val="10"/>
            <color rgb="FF000000"/>
            <rFont val="Arial"/>
          </rPr>
          <t>time taken for: InaccuracyFire and InaccuracyLand to clear when standing and time taken to shift from InaccuracyStand to InaccuracyStandAlt after zooming or switching to burst-fire mode.</t>
        </r>
      </text>
    </comment>
    <comment ref="A42" authorId="0" shapeId="0" xr:uid="{00000000-0006-0000-0800-00002B000000}">
      <text>
        <r>
          <rPr>
            <sz val="10"/>
            <color rgb="FF000000"/>
            <rFont val="Arial"/>
          </rPr>
          <t>AWP</t>
        </r>
      </text>
    </comment>
    <comment ref="A43" authorId="0" shapeId="0" xr:uid="{00000000-0006-0000-0800-00002C000000}">
      <text>
        <r>
          <rPr>
            <sz val="10"/>
            <color rgb="FF000000"/>
            <rFont val="Arial"/>
          </rPr>
          <t>G3SG1</t>
        </r>
      </text>
    </comment>
    <comment ref="A44" authorId="0" shapeId="0" xr:uid="{00000000-0006-0000-0800-00002D000000}">
      <text>
        <r>
          <rPr>
            <sz val="10"/>
            <color rgb="FF000000"/>
            <rFont val="Arial"/>
          </rPr>
          <t>SCAR-20</t>
        </r>
      </text>
    </comment>
    <comment ref="A45" authorId="0" shapeId="0" xr:uid="{00000000-0006-0000-0800-00002E000000}">
      <text>
        <r>
          <rPr>
            <sz val="10"/>
            <color rgb="FF000000"/>
            <rFont val="Arial"/>
          </rPr>
          <t>SSG 08</t>
        </r>
      </text>
    </comment>
  </commentList>
</comments>
</file>

<file path=xl/sharedStrings.xml><?xml version="1.0" encoding="utf-8"?>
<sst xmlns="http://schemas.openxmlformats.org/spreadsheetml/2006/main" count="2344" uniqueCount="313">
  <si>
    <t>Pistols</t>
  </si>
  <si>
    <t>Price</t>
  </si>
  <si>
    <t>Kill Award</t>
  </si>
  <si>
    <t>Damage</t>
  </si>
  <si>
    <t>Bullets</t>
  </si>
  <si>
    <t>Armor
Penetration</t>
  </si>
  <si>
    <t>Damage
Falloff @ 500U</t>
  </si>
  <si>
    <t>Headshot
Multiplier</t>
  </si>
  <si>
    <t>Fire Rate
(RPM)</t>
  </si>
  <si>
    <t>Penetration
Power</t>
  </si>
  <si>
    <t>Magazine
Size</t>
  </si>
  <si>
    <t>Ammo in
Reserve</t>
  </si>
  <si>
    <t>Mobility</t>
  </si>
  <si>
    <t>Tagging Power</t>
  </si>
  <si>
    <t>Bullet
Range</t>
  </si>
  <si>
    <t>Hold to
Shoot</t>
  </si>
  <si>
    <t>Tracers</t>
  </si>
  <si>
    <t>Accurate
Range Stand</t>
  </si>
  <si>
    <t>Accurate
Range Crouch</t>
  </si>
  <si>
    <t>Standing
Inaccuracy</t>
  </si>
  <si>
    <t>Crouching
Inaccuracy</t>
  </si>
  <si>
    <t>Running
Inaccuracy</t>
  </si>
  <si>
    <t>Ladder
Inaccuracy</t>
  </si>
  <si>
    <t>Inaccuracy at
Jump Apex</t>
  </si>
  <si>
    <t>Inaccuracy
After Landing</t>
  </si>
  <si>
    <t>Inaccuracy
From Firing</t>
  </si>
  <si>
    <t>Recovery
TimeCrouch</t>
  </si>
  <si>
    <t>Recovery
TimeStand</t>
  </si>
  <si>
    <t>Recoil
Amount</t>
  </si>
  <si>
    <t>Recoil Angle
Variance</t>
  </si>
  <si>
    <t>Recoil Amount
Variance</t>
  </si>
  <si>
    <t>Recoil
Pattern</t>
  </si>
  <si>
    <t>Fatal Headshot
Range</t>
  </si>
  <si>
    <t>Fatal Headshot
Range(Helmet)</t>
  </si>
  <si>
    <t>Desert Eagle</t>
  </si>
  <si>
    <t>No</t>
  </si>
  <si>
    <t>Every Bullet</t>
  </si>
  <si>
    <t>Random</t>
  </si>
  <si>
    <t>R8 Revolver</t>
  </si>
  <si>
    <t>Yes</t>
  </si>
  <si>
    <t>see note</t>
  </si>
  <si>
    <t>Set Pattern</t>
  </si>
  <si>
    <t>Revolver (Rapid Fire)</t>
  </si>
  <si>
    <t>-</t>
  </si>
  <si>
    <t>Dual Berettas</t>
  </si>
  <si>
    <t>None</t>
  </si>
  <si>
    <t>Five-SeveN</t>
  </si>
  <si>
    <t>Glock-18</t>
  </si>
  <si>
    <t>Glock-18 (burst)</t>
  </si>
  <si>
    <t>P2000</t>
  </si>
  <si>
    <t>P250</t>
  </si>
  <si>
    <t>CZ75 Auto</t>
  </si>
  <si>
    <t>Tec-9</t>
  </si>
  <si>
    <t>Shotguns</t>
  </si>
  <si>
    <t>Firerate
(RPM)</t>
  </si>
  <si>
    <t>Mag-7</t>
  </si>
  <si>
    <t>Nova</t>
  </si>
  <si>
    <t>Sawed-Off</t>
  </si>
  <si>
    <t>XM1014</t>
  </si>
  <si>
    <t>SMGs</t>
  </si>
  <si>
    <t>PP-Bizon</t>
  </si>
  <si>
    <t>Every Third</t>
  </si>
  <si>
    <t>MAC-10</t>
  </si>
  <si>
    <t>MP7</t>
  </si>
  <si>
    <t>MP5-SD</t>
  </si>
  <si>
    <t>MP9</t>
  </si>
  <si>
    <t>P90</t>
  </si>
  <si>
    <t>UMP-45</t>
  </si>
  <si>
    <t>Automatic Rifles</t>
  </si>
  <si>
    <t>Inaccuracy
Ladder</t>
  </si>
  <si>
    <t>AK-47</t>
  </si>
  <si>
    <t>AUG</t>
  </si>
  <si>
    <t>AUG (scoped)</t>
  </si>
  <si>
    <t>FAMAS</t>
  </si>
  <si>
    <t>FAMAS (burst)</t>
  </si>
  <si>
    <t>Galil AR</t>
  </si>
  <si>
    <t>M4A4</t>
  </si>
  <si>
    <t>SG 553</t>
  </si>
  <si>
    <t>SG 553 (scoped)</t>
  </si>
  <si>
    <t>LMGs</t>
  </si>
  <si>
    <t>M249</t>
  </si>
  <si>
    <t>Negev</t>
  </si>
  <si>
    <t>Sniper Rifles</t>
  </si>
  <si>
    <t>AWP</t>
  </si>
  <si>
    <t>AWP (scoped)</t>
  </si>
  <si>
    <t>G3SG1</t>
  </si>
  <si>
    <t>G3SG1 (scoped)</t>
  </si>
  <si>
    <t>SCAR-20</t>
  </si>
  <si>
    <t>SCAR-20 (scoped)</t>
  </si>
  <si>
    <t>.</t>
  </si>
  <si>
    <t>SSG 08</t>
  </si>
  <si>
    <t>SSG 08 (scoped)</t>
  </si>
  <si>
    <t>WeaporArmorRatio</t>
  </si>
  <si>
    <t>RangeModifier</t>
  </si>
  <si>
    <t>HeadshotMultiplier</t>
  </si>
  <si>
    <t>CycleTime</t>
  </si>
  <si>
    <t>Penetration</t>
  </si>
  <si>
    <t>KillAward</t>
  </si>
  <si>
    <t>MaxPlayerSpeed</t>
  </si>
  <si>
    <t>clip_size</t>
  </si>
  <si>
    <t>WeaponPrice</t>
  </si>
  <si>
    <t>Range</t>
  </si>
  <si>
    <t>WeaponType</t>
  </si>
  <si>
    <t>FullAuto</t>
  </si>
  <si>
    <t>TracerFrequency</t>
  </si>
  <si>
    <t>FlinchVelocityModifierLarge</t>
  </si>
  <si>
    <t>FlinchVelocityModifierSmall</t>
  </si>
  <si>
    <t>Spread</t>
  </si>
  <si>
    <t>InaccuracyCrouch</t>
  </si>
  <si>
    <t>InaccuracyStand</t>
  </si>
  <si>
    <t>InaccuracyFire</t>
  </si>
  <si>
    <t>InaccuracyMove</t>
  </si>
  <si>
    <t>InaccuracyJump</t>
  </si>
  <si>
    <t>inaccuracy jump intial</t>
  </si>
  <si>
    <t>inaccuracy jump apex</t>
  </si>
  <si>
    <t>InaccuracyLand</t>
  </si>
  <si>
    <t>InaccuracyLadder</t>
  </si>
  <si>
    <t>RecoveryTimeCrouch</t>
  </si>
  <si>
    <t>RecoveryTimeCrouchFinal</t>
  </si>
  <si>
    <t>RecoveryTimeStand</t>
  </si>
  <si>
    <t>RecoveryTimeStandFinal</t>
  </si>
  <si>
    <t>RecoilAngleVariance</t>
  </si>
  <si>
    <t>RecoilMagnitude</t>
  </si>
  <si>
    <t>RecoilMagnitudeVariance</t>
  </si>
  <si>
    <t>SpreadAlt</t>
  </si>
  <si>
    <t>InaccuracyCrouchAlt</t>
  </si>
  <si>
    <t>InaccuracyStandAlt</t>
  </si>
  <si>
    <t>InaccuracyFireAlt</t>
  </si>
  <si>
    <t>InaccuracyMoveAlt</t>
  </si>
  <si>
    <t>InaccuracyJumpAlt</t>
  </si>
  <si>
    <t>InaccuracyLandAlt</t>
  </si>
  <si>
    <t>InaccuracyLadderAlt</t>
  </si>
  <si>
    <t>RecoilAngleVarianceAlt</t>
  </si>
  <si>
    <t>RecoilMagnitudeAlt</t>
  </si>
  <si>
    <t>RecoilMagnitudeVarianceAlt</t>
  </si>
  <si>
    <t>MaxPlayerSpeedAlt</t>
  </si>
  <si>
    <t>TracerFrequencyAlt</t>
  </si>
  <si>
    <t>ZoomFov1</t>
  </si>
  <si>
    <t>ZoomFov2</t>
  </si>
  <si>
    <t>CycleTimeAlt</t>
  </si>
  <si>
    <t>cycletime_when_in_burst_mode</t>
  </si>
  <si>
    <t>time_between_burst_shots</t>
  </si>
  <si>
    <t>deagle</t>
  </si>
  <si>
    <t>Pistol</t>
  </si>
  <si>
    <t>revolver</t>
  </si>
  <si>
    <t>elite</t>
  </si>
  <si>
    <t>fiveseven</t>
  </si>
  <si>
    <t>glock</t>
  </si>
  <si>
    <t>hkp2000</t>
  </si>
  <si>
    <t>usp_silencer</t>
  </si>
  <si>
    <t>p250</t>
  </si>
  <si>
    <t>cz75a</t>
  </si>
  <si>
    <t>tec9</t>
  </si>
  <si>
    <t>mag7</t>
  </si>
  <si>
    <t>Shotgun</t>
  </si>
  <si>
    <t>nova</t>
  </si>
  <si>
    <t>sawedoff</t>
  </si>
  <si>
    <t>xm1014</t>
  </si>
  <si>
    <t>bizon</t>
  </si>
  <si>
    <t>SubMachinegun</t>
  </si>
  <si>
    <t>mac10</t>
  </si>
  <si>
    <t>mp7</t>
  </si>
  <si>
    <t>mp5sd</t>
  </si>
  <si>
    <t>mp9</t>
  </si>
  <si>
    <t>p90</t>
  </si>
  <si>
    <t>ump45</t>
  </si>
  <si>
    <t>ak47</t>
  </si>
  <si>
    <t>Rifle</t>
  </si>
  <si>
    <t>aug</t>
  </si>
  <si>
    <t>famas</t>
  </si>
  <si>
    <t>galilar</t>
  </si>
  <si>
    <t>m4a1</t>
  </si>
  <si>
    <t>m4a1_silencer</t>
  </si>
  <si>
    <t>sg556</t>
  </si>
  <si>
    <t>m249</t>
  </si>
  <si>
    <t>Machinegun</t>
  </si>
  <si>
    <t>negev</t>
  </si>
  <si>
    <t>awp</t>
  </si>
  <si>
    <t>SniperRifle</t>
  </si>
  <si>
    <t>g3sg1</t>
  </si>
  <si>
    <t>scar20</t>
  </si>
  <si>
    <t>ssg08</t>
  </si>
  <si>
    <t>Crouching /
Standing
Inaccuracy</t>
  </si>
  <si>
    <t>Max Crouching
Firing Inaccuracy</t>
  </si>
  <si>
    <t>Max Standing 
Firing Inaccuracy</t>
  </si>
  <si>
    <t>Max Running
Firing Inaccuracy</t>
  </si>
  <si>
    <t>Max Crouching /
Max Standing
Firing Inaccuracy</t>
  </si>
  <si>
    <t>2nd bullet
recovery time
stand</t>
  </si>
  <si>
    <t>3rd bullet
recovery time 
stand</t>
  </si>
  <si>
    <t>4th bullet
recovery time 
stand</t>
  </si>
  <si>
    <t>5th bullet
recovery time 
stand</t>
  </si>
  <si>
    <t>6th bullet
recovery time 
stand</t>
  </si>
  <si>
    <t>7th bullet
recovery time 
stand</t>
  </si>
  <si>
    <t>8th bullet
recovery time 
stand</t>
  </si>
  <si>
    <t>9th bullet
recovery time 
stand</t>
  </si>
  <si>
    <t>10th bullet
recovery time 
stand</t>
  </si>
  <si>
    <t>2nd bullet
recovery time 
crouch</t>
  </si>
  <si>
    <t>3rd bullet
recovery time
crouch</t>
  </si>
  <si>
    <t>4th bullet
recovery time 
crouch</t>
  </si>
  <si>
    <t>5th bullet
recovery time 
crouch</t>
  </si>
  <si>
    <t>6th bullet
recovery time 
crouch</t>
  </si>
  <si>
    <t>7th bullet
recovery time 
crouch</t>
  </si>
  <si>
    <t>8th bullet
recovery time 
crouch</t>
  </si>
  <si>
    <t>9th bullet
recovery time 
crouch</t>
  </si>
  <si>
    <t>10th bullet
recovery time 
crouch</t>
  </si>
  <si>
    <t>Crouching
Inaccuracy
Degrees</t>
  </si>
  <si>
    <t>Standing
Inaccuracy
Degrees</t>
  </si>
  <si>
    <t>Running
Inaccuracy
Degrees</t>
  </si>
  <si>
    <t>Crouching
Inaccuracy
Area</t>
  </si>
  <si>
    <t>Standing
Inaccuracy
Area</t>
  </si>
  <si>
    <t>Running
Inaccuracy
Area</t>
  </si>
  <si>
    <t>Crouching /
Standing
Inaccuracy Area</t>
  </si>
  <si>
    <t>Damage to
Armor</t>
  </si>
  <si>
    <t>Damage
(Chest &amp; Arms)</t>
  </si>
  <si>
    <t>Damage 
(Head)</t>
  </si>
  <si>
    <t>Damage
(Stomach)</t>
  </si>
  <si>
    <t>Damage
(Legs)</t>
  </si>
  <si>
    <t>Damage
(Vest: Chest &amp;
Arms)</t>
  </si>
  <si>
    <t>Damage
(Helmet)</t>
  </si>
  <si>
    <t>Damage
(Vest: Stomach)</t>
  </si>
  <si>
    <t>DPS</t>
  </si>
  <si>
    <t>DPS(Armor)</t>
  </si>
  <si>
    <t>Damage Per Clip</t>
  </si>
  <si>
    <t>Damage Per Clip(Armor)</t>
  </si>
  <si>
    <t>11th bullet
recovery time 
stand</t>
  </si>
  <si>
    <t>12th bullet
recovery time 
stand</t>
  </si>
  <si>
    <t>13th bullet
recovery time 
stand</t>
  </si>
  <si>
    <t>14th bullet
recovery time 
stand</t>
  </si>
  <si>
    <t>15th bullet
recovery time 
stand</t>
  </si>
  <si>
    <t>11th bullet
recovery time 
crouch</t>
  </si>
  <si>
    <t>12th bullet
recovery time 
crouch</t>
  </si>
  <si>
    <t>13th bullet
recovery time 
crouch</t>
  </si>
  <si>
    <t>14th bullet
recovery time 
crouch</t>
  </si>
  <si>
    <t>15th bullet
recovery time 
crouch</t>
  </si>
  <si>
    <t>Inaccuracy
Fire</t>
  </si>
  <si>
    <t>RecoveryTime
StandFinal</t>
  </si>
  <si>
    <t>N/A</t>
  </si>
  <si>
    <t>RecoveryTime
CrouchFinal</t>
  </si>
  <si>
    <t>Tap Interval</t>
  </si>
  <si>
    <t>Damage @
100U/2.54m</t>
  </si>
  <si>
    <t>Damage @
200U/5.08m</t>
  </si>
  <si>
    <t>Damage @
300U/7.62m</t>
  </si>
  <si>
    <t>Damage @
400U/10.16m</t>
  </si>
  <si>
    <t>Damage @
500U/12.7m</t>
  </si>
  <si>
    <t>Damage @
600U/15.24m</t>
  </si>
  <si>
    <t>Damage @
700U/17.78m</t>
  </si>
  <si>
    <t>Damage @
800U/20.32m</t>
  </si>
  <si>
    <t>Damage @
900U/22.86m</t>
  </si>
  <si>
    <t>Damage @
1000U/25.4m</t>
  </si>
  <si>
    <t>Damage @
1100U/27.94m</t>
  </si>
  <si>
    <t>Damage @
1200U/30.48m</t>
  </si>
  <si>
    <t>Damage @
1300U/33.02m</t>
  </si>
  <si>
    <t>Damage @
1400U/35.56m</t>
  </si>
  <si>
    <t>Damage @
1500U/38.1m</t>
  </si>
  <si>
    <t>Damage @
2000U/50.8m</t>
  </si>
  <si>
    <t>Damage @
2500U/63.5m</t>
  </si>
  <si>
    <t>Damage @
3000U/76.2m</t>
  </si>
  <si>
    <t>One Hit Kill
Range</t>
  </si>
  <si>
    <t>DPS @100U</t>
  </si>
  <si>
    <t>DPS @300U</t>
  </si>
  <si>
    <t>DPS @600U</t>
  </si>
  <si>
    <t>DPS @1200U</t>
  </si>
  <si>
    <t>Armor Ratio</t>
  </si>
  <si>
    <t>Two Hit Kill
Range</t>
  </si>
  <si>
    <t>Req. Chest Hits
@100U/2.54m</t>
  </si>
  <si>
    <t>Req. Chest Hits
@200U/5.08m</t>
  </si>
  <si>
    <t>Req. Chest Hits
@300U/7.62m</t>
  </si>
  <si>
    <t>Req. Chest Hits
@400U/10.16m</t>
  </si>
  <si>
    <t>Req. Chest Hits
@500U/12.7m</t>
  </si>
  <si>
    <t>Req. Chest Hits
@600U/15.24m</t>
  </si>
  <si>
    <t>Req. Chest Hits
@700U/17.78m</t>
  </si>
  <si>
    <t>Req. Chest Hits
@800U/20.32m</t>
  </si>
  <si>
    <t>Req. Chest Hits
@900U/22.86m</t>
  </si>
  <si>
    <t>Req. Chest Hits
@1000U/25.4m</t>
  </si>
  <si>
    <t>Req. Chest Hits
@100U/27.94m</t>
  </si>
  <si>
    <t>Req. Chest Hits
@1200U/30.48m</t>
  </si>
  <si>
    <t>Req. Chest Hits
@1300U/33.02m</t>
  </si>
  <si>
    <t>Req. Chest Hits
@1400U/35.56m</t>
  </si>
  <si>
    <t>Req. Chest Hits
@1500U/38.1m</t>
  </si>
  <si>
    <t>Req. Chest Hits
@2000U/50.8m</t>
  </si>
  <si>
    <t>Req. Chest Hits
@2500U/63.5m</t>
  </si>
  <si>
    <t>Req. Chest Hits
@3000U/76.2m</t>
  </si>
  <si>
    <t>Time-to-Kill 
@100U</t>
  </si>
  <si>
    <t>Time-to-Kill 
@300U</t>
  </si>
  <si>
    <t>Time-to-Kill 
@600U</t>
  </si>
  <si>
    <t>Time-to-Kill 
@1200U</t>
  </si>
  <si>
    <t>Instant</t>
  </si>
  <si>
    <t>Deploy Time</t>
  </si>
  <si>
    <t>Reload
(Clip Ready)</t>
  </si>
  <si>
    <t>Reload
(Fire Ready)</t>
  </si>
  <si>
    <t>USP-S</t>
  </si>
  <si>
    <t>1.53 &amp; 1.17</t>
  </si>
  <si>
    <t>2.73 &amp; 2.83</t>
  </si>
  <si>
    <t>M4A1-S</t>
  </si>
  <si>
    <t>1.1 &amp; 1.0</t>
  </si>
  <si>
    <t>Date:</t>
  </si>
  <si>
    <t>2020.04.16</t>
  </si>
  <si>
    <t>Author:</t>
  </si>
  <si>
    <t>BlackRetina</t>
  </si>
  <si>
    <t>BlackRetina@gmail.com</t>
  </si>
  <si>
    <t>Co-Author:</t>
  </si>
  <si>
    <t>SlothSquadron</t>
  </si>
  <si>
    <t>SlothSquadron@gmail.com</t>
  </si>
  <si>
    <t>License:</t>
  </si>
  <si>
    <t>Public Domain</t>
  </si>
  <si>
    <t>Thanks:</t>
  </si>
  <si>
    <t>3kliksphilip</t>
  </si>
  <si>
    <t>Shotgun Reload Times</t>
  </si>
  <si>
    <t>AK47</t>
  </si>
  <si>
    <t>CZ75-Auto</t>
  </si>
  <si>
    <t>MAG-7</t>
  </si>
  <si>
    <t>USP-S ()</t>
  </si>
  <si>
    <t>M4A1-S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</si>
</sst>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\x"/>
    <numFmt numFmtId="165" formatCode="0.00&quot;m&quot;"/>
    <numFmt numFmtId="166" formatCode="0.000000"/>
    <numFmt numFmtId="167" formatCode="0.0"/>
    <numFmt numFmtId="168" formatCode="\$#,##0"/>
    <numFmt numFmtId="169" formatCode="#,###.00"/>
    <numFmt numFmtId="170" formatCode="#,##0.000"/>
    <numFmt numFmtId="171" formatCode="0.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</font>
    <font>
      <b/>
      <sz val="10"/>
      <color rgb="FF000000"/>
      <name val="Arial"/>
    </font>
    <font>
      <sz val="11"/>
      <color rgb="FF000000"/>
      <name val="Inconsolata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3B3B3"/>
        <bgColor rgb="FFB3B3B3"/>
      </patternFill>
    </fill>
    <fill>
      <patternFill patternType="solid">
        <fgColor rgb="FFAECF00"/>
        <bgColor rgb="FFAECF00"/>
      </patternFill>
    </fill>
    <fill>
      <patternFill patternType="solid">
        <fgColor rgb="FFFFFF00"/>
        <bgColor rgb="FFFFFF00"/>
      </patternFill>
    </fill>
    <fill>
      <patternFill patternType="solid">
        <fgColor rgb="FF00B8FF"/>
        <bgColor rgb="FF00B8FF"/>
      </patternFill>
    </fill>
    <fill>
      <patternFill patternType="solid">
        <fgColor rgb="FFFF950E"/>
        <bgColor rgb="FFFF950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wrapText="1"/>
    </xf>
    <xf numFmtId="4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 vertical="center"/>
    </xf>
    <xf numFmtId="167" fontId="2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4" fontId="5" fillId="7" borderId="1" xfId="0" applyNumberFormat="1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/>
    </xf>
    <xf numFmtId="0" fontId="1" fillId="0" borderId="3" xfId="0" applyFont="1" applyBorder="1" applyAlignment="1"/>
    <xf numFmtId="164" fontId="6" fillId="0" borderId="1" xfId="0" applyNumberFormat="1" applyFont="1" applyBorder="1" applyAlignment="1">
      <alignment wrapText="1"/>
    </xf>
    <xf numFmtId="4" fontId="1" fillId="0" borderId="3" xfId="0" applyNumberFormat="1" applyFont="1" applyBorder="1" applyAlignment="1"/>
    <xf numFmtId="165" fontId="1" fillId="0" borderId="3" xfId="0" applyNumberFormat="1" applyFont="1" applyBorder="1" applyAlignment="1"/>
    <xf numFmtId="4" fontId="1" fillId="0" borderId="4" xfId="0" applyNumberFormat="1" applyFont="1" applyBorder="1" applyAlignment="1"/>
    <xf numFmtId="4" fontId="6" fillId="0" borderId="5" xfId="0" applyNumberFormat="1" applyFont="1" applyBorder="1" applyAlignment="1">
      <alignment wrapText="1"/>
    </xf>
    <xf numFmtId="4" fontId="1" fillId="0" borderId="6" xfId="0" applyNumberFormat="1" applyFont="1" applyBorder="1" applyAlignment="1"/>
    <xf numFmtId="166" fontId="1" fillId="0" borderId="3" xfId="0" applyNumberFormat="1" applyFont="1" applyBorder="1" applyAlignment="1"/>
    <xf numFmtId="167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164" fontId="3" fillId="2" borderId="1" xfId="0" applyNumberFormat="1" applyFont="1" applyFill="1" applyBorder="1" applyAlignment="1">
      <alignment wrapText="1"/>
    </xf>
    <xf numFmtId="4" fontId="3" fillId="2" borderId="2" xfId="0" applyNumberFormat="1" applyFont="1" applyFill="1" applyBorder="1" applyAlignment="1">
      <alignment horizontal="left"/>
    </xf>
    <xf numFmtId="9" fontId="1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9" fontId="1" fillId="0" borderId="1" xfId="0" applyNumberFormat="1" applyFont="1" applyBorder="1" applyAlignment="1">
      <alignment horizontal="right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/>
    <xf numFmtId="167" fontId="1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170" fontId="2" fillId="2" borderId="1" xfId="0" applyNumberFormat="1" applyFont="1" applyFill="1" applyBorder="1" applyAlignment="1">
      <alignment horizontal="left" vertical="center"/>
    </xf>
    <xf numFmtId="170" fontId="2" fillId="2" borderId="1" xfId="0" applyNumberFormat="1" applyFont="1" applyFill="1" applyBorder="1" applyAlignment="1">
      <alignment horizontal="left" vertical="center"/>
    </xf>
    <xf numFmtId="171" fontId="3" fillId="2" borderId="0" xfId="0" applyNumberFormat="1" applyFont="1" applyFill="1" applyAlignment="1">
      <alignment horizontal="left" vertical="center"/>
    </xf>
    <xf numFmtId="171" fontId="2" fillId="2" borderId="1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70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 applyAlignment="1">
      <alignment horizontal="right"/>
    </xf>
    <xf numFmtId="171" fontId="5" fillId="0" borderId="1" xfId="0" applyNumberFormat="1" applyFont="1" applyBorder="1" applyAlignment="1">
      <alignment horizontal="right" wrapText="1"/>
    </xf>
    <xf numFmtId="171" fontId="1" fillId="0" borderId="1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171" fontId="6" fillId="0" borderId="2" xfId="0" applyNumberFormat="1" applyFont="1" applyBorder="1" applyAlignment="1">
      <alignment wrapText="1"/>
    </xf>
    <xf numFmtId="17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/>
    <xf numFmtId="4" fontId="5" fillId="0" borderId="2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right"/>
    </xf>
    <xf numFmtId="171" fontId="5" fillId="0" borderId="2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4" fontId="1" fillId="0" borderId="1" xfId="0" applyNumberFormat="1" applyFont="1" applyBorder="1" applyAlignment="1"/>
    <xf numFmtId="166" fontId="5" fillId="0" borderId="1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70" fontId="1" fillId="0" borderId="3" xfId="0" applyNumberFormat="1" applyFont="1" applyBorder="1" applyAlignment="1"/>
    <xf numFmtId="170" fontId="1" fillId="0" borderId="3" xfId="0" applyNumberFormat="1" applyFont="1" applyBorder="1" applyAlignment="1"/>
    <xf numFmtId="171" fontId="6" fillId="0" borderId="1" xfId="0" applyNumberFormat="1" applyFont="1" applyBorder="1" applyAlignment="1">
      <alignment wrapText="1"/>
    </xf>
    <xf numFmtId="171" fontId="1" fillId="0" borderId="3" xfId="0" applyNumberFormat="1" applyFont="1" applyBorder="1" applyAlignment="1"/>
    <xf numFmtId="4" fontId="5" fillId="0" borderId="8" xfId="0" applyNumberFormat="1" applyFont="1" applyBorder="1" applyAlignment="1">
      <alignment wrapText="1"/>
    </xf>
    <xf numFmtId="4" fontId="6" fillId="0" borderId="8" xfId="0" applyNumberFormat="1" applyFont="1" applyBorder="1" applyAlignment="1">
      <alignment wrapText="1"/>
    </xf>
    <xf numFmtId="171" fontId="6" fillId="0" borderId="8" xfId="0" applyNumberFormat="1" applyFont="1" applyBorder="1" applyAlignment="1">
      <alignment wrapText="1"/>
    </xf>
    <xf numFmtId="1" fontId="1" fillId="0" borderId="3" xfId="0" applyNumberFormat="1" applyFont="1" applyBorder="1" applyAlignment="1"/>
    <xf numFmtId="0" fontId="3" fillId="2" borderId="2" xfId="0" applyFont="1" applyFill="1" applyBorder="1" applyAlignment="1">
      <alignment horizontal="left" vertical="center"/>
    </xf>
    <xf numFmtId="171" fontId="5" fillId="0" borderId="2" xfId="0" applyNumberFormat="1" applyFont="1" applyBorder="1" applyAlignment="1">
      <alignment horizontal="right"/>
    </xf>
    <xf numFmtId="170" fontId="5" fillId="0" borderId="1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70" fontId="5" fillId="0" borderId="4" xfId="0" applyNumberFormat="1" applyFont="1" applyBorder="1" applyAlignment="1">
      <alignment horizontal="right"/>
    </xf>
    <xf numFmtId="171" fontId="5" fillId="0" borderId="4" xfId="0" applyNumberFormat="1" applyFont="1" applyBorder="1" applyAlignment="1">
      <alignment horizontal="right"/>
    </xf>
    <xf numFmtId="168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4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0" fillId="0" borderId="0" xfId="0" applyNumberFormat="1" applyFont="1" applyAlignment="1"/>
    <xf numFmtId="0" fontId="3" fillId="0" borderId="9" xfId="0" applyFont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1" fontId="3" fillId="2" borderId="1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Alignment="1">
      <alignment wrapText="1"/>
    </xf>
    <xf numFmtId="0" fontId="6" fillId="0" borderId="9" xfId="0" applyFont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/>
    </xf>
    <xf numFmtId="4" fontId="0" fillId="0" borderId="1" xfId="0" applyNumberFormat="1" applyFont="1" applyBorder="1" applyAlignment="1">
      <alignment horizontal="right"/>
    </xf>
    <xf numFmtId="10" fontId="0" fillId="0" borderId="1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0" borderId="7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left" vertical="center"/>
    </xf>
    <xf numFmtId="166" fontId="5" fillId="0" borderId="1" xfId="0" applyNumberFormat="1" applyFont="1" applyBorder="1" applyAlignment="1">
      <alignment horizontal="right"/>
    </xf>
    <xf numFmtId="166" fontId="5" fillId="7" borderId="7" xfId="0" applyNumberFormat="1" applyFont="1" applyFill="1" applyBorder="1" applyAlignment="1">
      <alignment horizontal="right" wrapText="1"/>
    </xf>
    <xf numFmtId="166" fontId="5" fillId="7" borderId="1" xfId="0" applyNumberFormat="1" applyFont="1" applyFill="1" applyBorder="1" applyAlignment="1">
      <alignment horizontal="right" wrapText="1"/>
    </xf>
    <xf numFmtId="0" fontId="0" fillId="0" borderId="9" xfId="0" applyFont="1" applyBorder="1" applyAlignment="1"/>
    <xf numFmtId="4" fontId="0" fillId="0" borderId="1" xfId="0" applyNumberFormat="1" applyFont="1" applyBorder="1" applyAlignment="1"/>
    <xf numFmtId="1" fontId="0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 wrapText="1"/>
    </xf>
    <xf numFmtId="3" fontId="0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wrapText="1"/>
    </xf>
    <xf numFmtId="4" fontId="6" fillId="0" borderId="1" xfId="0" applyNumberFormat="1" applyFont="1" applyBorder="1" applyAlignment="1">
      <alignment wrapText="1"/>
    </xf>
    <xf numFmtId="166" fontId="0" fillId="0" borderId="0" xfId="0" applyNumberFormat="1" applyFont="1" applyAlignment="1">
      <alignment horizontal="right"/>
    </xf>
    <xf numFmtId="166" fontId="5" fillId="7" borderId="0" xfId="0" applyNumberFormat="1" applyFont="1" applyFill="1" applyAlignment="1">
      <alignment horizontal="right" wrapText="1"/>
    </xf>
    <xf numFmtId="0" fontId="0" fillId="0" borderId="10" xfId="0" applyFont="1" applyBorder="1" applyAlignment="1"/>
    <xf numFmtId="0" fontId="9" fillId="5" borderId="1" xfId="0" applyFont="1" applyFill="1" applyBorder="1" applyAlignment="1">
      <alignment horizontal="left"/>
    </xf>
    <xf numFmtId="166" fontId="5" fillId="0" borderId="4" xfId="0" applyNumberFormat="1" applyFont="1" applyBorder="1" applyAlignment="1">
      <alignment horizontal="right"/>
    </xf>
    <xf numFmtId="0" fontId="9" fillId="6" borderId="1" xfId="0" applyFont="1" applyFill="1" applyBorder="1" applyAlignment="1">
      <alignment horizontal="left"/>
    </xf>
    <xf numFmtId="0" fontId="0" fillId="0" borderId="3" xfId="0" applyFont="1" applyBorder="1" applyAlignment="1"/>
    <xf numFmtId="4" fontId="0" fillId="0" borderId="3" xfId="0" applyNumberFormat="1" applyFont="1" applyBorder="1" applyAlignment="1"/>
    <xf numFmtId="0" fontId="0" fillId="0" borderId="0" xfId="0" applyFont="1" applyAlignment="1"/>
    <xf numFmtId="1" fontId="0" fillId="0" borderId="3" xfId="0" applyNumberFormat="1" applyFont="1" applyBorder="1" applyAlignment="1"/>
    <xf numFmtId="1" fontId="6" fillId="0" borderId="1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4" fontId="6" fillId="0" borderId="3" xfId="0" applyNumberFormat="1" applyFont="1" applyBorder="1" applyAlignment="1">
      <alignment wrapText="1"/>
    </xf>
    <xf numFmtId="0" fontId="3" fillId="0" borderId="10" xfId="0" applyFont="1" applyBorder="1" applyAlignment="1">
      <alignment vertical="center"/>
    </xf>
    <xf numFmtId="1" fontId="3" fillId="2" borderId="1" xfId="0" applyNumberFormat="1" applyFont="1" applyFill="1" applyBorder="1" applyAlignment="1">
      <alignment wrapText="1"/>
    </xf>
    <xf numFmtId="0" fontId="0" fillId="0" borderId="1" xfId="0" applyFont="1" applyBorder="1" applyAlignment="1"/>
    <xf numFmtId="166" fontId="0" fillId="0" borderId="1" xfId="0" applyNumberFormat="1" applyFont="1" applyBorder="1" applyAlignment="1">
      <alignment horizontal="right"/>
    </xf>
    <xf numFmtId="166" fontId="0" fillId="7" borderId="1" xfId="0" applyNumberFormat="1" applyFont="1" applyFill="1" applyBorder="1" applyAlignment="1">
      <alignment wrapText="1"/>
    </xf>
    <xf numFmtId="166" fontId="0" fillId="0" borderId="0" xfId="0" applyNumberFormat="1" applyFont="1" applyAlignment="1">
      <alignment wrapText="1"/>
    </xf>
    <xf numFmtId="4" fontId="5" fillId="0" borderId="1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wrapText="1"/>
    </xf>
    <xf numFmtId="166" fontId="6" fillId="0" borderId="4" xfId="0" applyNumberFormat="1" applyFont="1" applyBorder="1" applyAlignment="1">
      <alignment wrapText="1"/>
    </xf>
    <xf numFmtId="166" fontId="6" fillId="0" borderId="10" xfId="0" applyNumberFormat="1" applyFont="1" applyBorder="1" applyAlignment="1">
      <alignment wrapText="1"/>
    </xf>
    <xf numFmtId="166" fontId="6" fillId="7" borderId="4" xfId="0" applyNumberFormat="1" applyFont="1" applyFill="1" applyBorder="1" applyAlignment="1">
      <alignment wrapText="1"/>
    </xf>
    <xf numFmtId="0" fontId="1" fillId="0" borderId="9" xfId="0" applyFont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0" fontId="1" fillId="0" borderId="9" xfId="0" applyFont="1" applyBorder="1" applyAlignment="1"/>
    <xf numFmtId="4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 applyAlignment="1"/>
    <xf numFmtId="4" fontId="1" fillId="0" borderId="11" xfId="0" applyNumberFormat="1" applyFont="1" applyBorder="1" applyAlignment="1"/>
    <xf numFmtId="4" fontId="1" fillId="0" borderId="12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12" xfId="0" applyNumberFormat="1" applyFont="1" applyBorder="1" applyAlignment="1"/>
    <xf numFmtId="4" fontId="1" fillId="0" borderId="0" xfId="0" applyNumberFormat="1" applyFont="1" applyAlignment="1"/>
    <xf numFmtId="4" fontId="10" fillId="7" borderId="0" xfId="0" applyNumberFormat="1" applyFont="1" applyFill="1" applyAlignment="1">
      <alignment horizontal="right" wrapText="1"/>
    </xf>
    <xf numFmtId="4" fontId="10" fillId="7" borderId="0" xfId="0" applyNumberFormat="1" applyFont="1" applyFill="1" applyAlignment="1">
      <alignment wrapText="1"/>
    </xf>
    <xf numFmtId="4" fontId="1" fillId="0" borderId="8" xfId="0" applyNumberFormat="1" applyFont="1" applyBorder="1" applyAlignment="1"/>
    <xf numFmtId="4" fontId="5" fillId="0" borderId="1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wrapText="1"/>
    </xf>
    <xf numFmtId="4" fontId="5" fillId="0" borderId="0" xfId="0" applyNumberFormat="1" applyFont="1" applyAlignment="1">
      <alignment horizontal="right"/>
    </xf>
    <xf numFmtId="166" fontId="1" fillId="0" borderId="1" xfId="0" applyNumberFormat="1" applyFont="1" applyBorder="1" applyAlignment="1"/>
    <xf numFmtId="166" fontId="1" fillId="0" borderId="12" xfId="0" applyNumberFormat="1" applyFont="1" applyBorder="1" applyAlignment="1"/>
    <xf numFmtId="0" fontId="1" fillId="0" borderId="12" xfId="0" applyFont="1" applyBorder="1" applyAlignment="1"/>
    <xf numFmtId="3" fontId="1" fillId="2" borderId="1" xfId="0" applyNumberFormat="1" applyFont="1" applyFill="1" applyBorder="1" applyAlignment="1">
      <alignment horizontal="right" vertical="center"/>
    </xf>
    <xf numFmtId="171" fontId="3" fillId="2" borderId="1" xfId="0" applyNumberFormat="1" applyFont="1" applyFill="1" applyBorder="1" applyAlignment="1">
      <alignment horizontal="left" vertical="center"/>
    </xf>
    <xf numFmtId="171" fontId="3" fillId="2" borderId="2" xfId="0" applyNumberFormat="1" applyFont="1" applyFill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right"/>
    </xf>
    <xf numFmtId="3" fontId="5" fillId="2" borderId="4" xfId="0" applyNumberFormat="1" applyFont="1" applyFill="1" applyBorder="1" applyAlignment="1">
      <alignment horizontal="right"/>
    </xf>
    <xf numFmtId="4" fontId="6" fillId="0" borderId="8" xfId="0" applyNumberFormat="1" applyFont="1" applyBorder="1" applyAlignment="1">
      <alignment wrapText="1"/>
    </xf>
    <xf numFmtId="4" fontId="6" fillId="0" borderId="0" xfId="0" applyNumberFormat="1" applyFont="1" applyAlignment="1">
      <alignment wrapText="1"/>
    </xf>
    <xf numFmtId="3" fontId="5" fillId="2" borderId="2" xfId="0" applyNumberFormat="1" applyFont="1" applyFill="1" applyBorder="1" applyAlignment="1">
      <alignment horizontal="right"/>
    </xf>
    <xf numFmtId="3" fontId="5" fillId="2" borderId="7" xfId="0" applyNumberFormat="1" applyFont="1" applyFill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169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Alignment="1">
      <alignment wrapText="1"/>
    </xf>
    <xf numFmtId="170" fontId="1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 wrapText="1"/>
    </xf>
    <xf numFmtId="3" fontId="1" fillId="0" borderId="3" xfId="0" applyNumberFormat="1" applyFont="1" applyBorder="1" applyAlignment="1"/>
    <xf numFmtId="0" fontId="1" fillId="0" borderId="8" xfId="0" applyFont="1" applyBorder="1" applyAlignment="1"/>
    <xf numFmtId="4" fontId="6" fillId="0" borderId="1" xfId="0" applyNumberFormat="1" applyFont="1" applyBorder="1" applyAlignment="1">
      <alignment wrapText="1"/>
    </xf>
    <xf numFmtId="0" fontId="1" fillId="0" borderId="13" xfId="0" applyFont="1" applyBorder="1" applyAlignment="1">
      <alignment vertical="center"/>
    </xf>
    <xf numFmtId="4" fontId="3" fillId="2" borderId="1" xfId="0" applyNumberFormat="1" applyFont="1" applyFill="1" applyBorder="1" applyAlignment="1">
      <alignment wrapText="1"/>
    </xf>
    <xf numFmtId="4" fontId="6" fillId="0" borderId="0" xfId="0" applyNumberFormat="1" applyFont="1" applyAlignment="1">
      <alignment wrapText="1"/>
    </xf>
    <xf numFmtId="0" fontId="1" fillId="0" borderId="12" xfId="0" applyFont="1" applyBorder="1" applyAlignment="1">
      <alignment vertical="center"/>
    </xf>
    <xf numFmtId="4" fontId="6" fillId="0" borderId="0" xfId="0" applyNumberFormat="1" applyFont="1" applyAlignment="1">
      <alignment wrapText="1"/>
    </xf>
    <xf numFmtId="4" fontId="6" fillId="0" borderId="4" xfId="0" applyNumberFormat="1" applyFont="1" applyBorder="1" applyAlignment="1">
      <alignment wrapText="1"/>
    </xf>
    <xf numFmtId="1" fontId="2" fillId="2" borderId="1" xfId="0" applyNumberFormat="1" applyFont="1" applyFill="1" applyBorder="1" applyAlignment="1">
      <alignment horizontal="left" vertical="center"/>
    </xf>
    <xf numFmtId="1" fontId="1" fillId="0" borderId="9" xfId="0" applyNumberFormat="1" applyFont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right"/>
    </xf>
    <xf numFmtId="1" fontId="1" fillId="0" borderId="9" xfId="0" applyNumberFormat="1" applyFont="1" applyBorder="1" applyAlignment="1"/>
    <xf numFmtId="1" fontId="1" fillId="0" borderId="3" xfId="0" applyNumberFormat="1" applyFont="1" applyBorder="1" applyAlignment="1"/>
    <xf numFmtId="1" fontId="1" fillId="0" borderId="0" xfId="0" applyNumberFormat="1" applyFont="1" applyAlignment="1"/>
    <xf numFmtId="1" fontId="1" fillId="0" borderId="11" xfId="0" applyNumberFormat="1" applyFont="1" applyBorder="1" applyAlignment="1"/>
    <xf numFmtId="1" fontId="1" fillId="0" borderId="12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0" fontId="1" fillId="0" borderId="10" xfId="0" applyFont="1" applyBorder="1" applyAlignment="1">
      <alignment vertical="center"/>
    </xf>
    <xf numFmtId="1" fontId="1" fillId="0" borderId="12" xfId="0" applyNumberFormat="1" applyFont="1" applyBorder="1" applyAlignment="1"/>
    <xf numFmtId="1" fontId="1" fillId="0" borderId="0" xfId="0" applyNumberFormat="1" applyFont="1" applyAlignment="1">
      <alignment horizontal="right"/>
    </xf>
    <xf numFmtId="0" fontId="1" fillId="0" borderId="10" xfId="0" applyFont="1" applyBorder="1" applyAlignment="1"/>
    <xf numFmtId="1" fontId="1" fillId="0" borderId="8" xfId="0" applyNumberFormat="1" applyFont="1" applyBorder="1" applyAlignment="1"/>
    <xf numFmtId="4" fontId="1" fillId="0" borderId="1" xfId="0" applyNumberFormat="1" applyFont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4" fontId="1" fillId="0" borderId="3" xfId="0" applyNumberFormat="1" applyFont="1" applyBorder="1" applyAlignment="1"/>
    <xf numFmtId="4" fontId="11" fillId="0" borderId="1" xfId="0" applyNumberFormat="1" applyFont="1" applyBorder="1" applyAlignment="1">
      <alignment horizontal="right"/>
    </xf>
    <xf numFmtId="4" fontId="11" fillId="0" borderId="4" xfId="0" applyNumberFormat="1" applyFont="1" applyBorder="1" applyAlignment="1">
      <alignment horizontal="right"/>
    </xf>
    <xf numFmtId="4" fontId="11" fillId="0" borderId="2" xfId="0" applyNumberFormat="1" applyFont="1" applyBorder="1" applyAlignment="1">
      <alignment horizontal="right"/>
    </xf>
    <xf numFmtId="4" fontId="1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6"/>
  <sheetViews>
    <sheetView tabSelected="1" topLeftCell="A27" workbookViewId="0">
      <pane xSplit="1" topLeftCell="B1" activePane="topRight" state="frozen"/>
      <selection pane="topRight" activeCell="A39" sqref="A39"/>
    </sheetView>
  </sheetViews>
  <sheetFormatPr baseColWidth="10" defaultColWidth="14.5" defaultRowHeight="12.75" customHeight="1" x14ac:dyDescent="0.15"/>
  <cols>
    <col min="1" max="1" width="19.6640625" customWidth="1"/>
    <col min="2" max="34" width="11.6640625" customWidth="1"/>
  </cols>
  <sheetData>
    <row r="1" spans="1:3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7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ht="15.75" customHeight="1" x14ac:dyDescent="0.15">
      <c r="A2" s="9" t="s">
        <v>34</v>
      </c>
      <c r="B2" s="10">
        <f>'Raw Values'!K2</f>
        <v>700</v>
      </c>
      <c r="C2" s="10">
        <f>'Raw Values'!H2</f>
        <v>300</v>
      </c>
      <c r="D2" s="11">
        <f>'Raw Values'!C2</f>
        <v>53</v>
      </c>
      <c r="E2" s="11">
        <f>'Raw Values'!O2</f>
        <v>1</v>
      </c>
      <c r="F2" s="12">
        <f>SUM('Raw Values'!B2/2)</f>
        <v>0.93200000000000005</v>
      </c>
      <c r="G2" s="13">
        <f>SUM(1-'Raw Values'!D2)</f>
        <v>0.15000000000000002</v>
      </c>
      <c r="H2" s="14">
        <f>'Raw Values'!$E2</f>
        <v>3.9</v>
      </c>
      <c r="I2" s="15">
        <f>SUM(60/'Raw Values'!F2)</f>
        <v>266.66666666666669</v>
      </c>
      <c r="J2" s="16">
        <f>'Raw Values'!G2</f>
        <v>2</v>
      </c>
      <c r="K2" s="11">
        <f>'Raw Values'!J2</f>
        <v>7</v>
      </c>
      <c r="L2" s="17">
        <v>35</v>
      </c>
      <c r="M2" s="11">
        <f>'Raw Values'!I2</f>
        <v>230</v>
      </c>
      <c r="N2" s="16">
        <f>SUM(1-'Raw Values'!Q2)</f>
        <v>0.6</v>
      </c>
      <c r="O2" s="18">
        <f>'Raw Values'!L2</f>
        <v>4096</v>
      </c>
      <c r="P2" s="17" t="s">
        <v>35</v>
      </c>
      <c r="Q2" s="17" t="s">
        <v>36</v>
      </c>
      <c r="R2" s="19">
        <f t="shared" ref="R2:S2" si="0">152.4 / T2</f>
        <v>24.580645161290324</v>
      </c>
      <c r="S2" s="19">
        <f t="shared" si="0"/>
        <v>36.459330143540676</v>
      </c>
      <c r="T2" s="15">
        <f>SUM('Raw Values'!S2+'Raw Values'!U2)</f>
        <v>6.2</v>
      </c>
      <c r="U2" s="15">
        <f>SUM('Raw Values'!S2+'Raw Values'!T2)</f>
        <v>4.18</v>
      </c>
      <c r="V2" s="15">
        <f>SUM('Raw Values'!S2+'Raw Values'!U2+'Raw Values'!W2)</f>
        <v>54.300000000000004</v>
      </c>
      <c r="W2" s="15">
        <f>SUM('Raw Values'!S2 + ('Raw Values'!AB2*2))</f>
        <v>306</v>
      </c>
      <c r="X2" s="20">
        <f>('Raw Values'!S2+'Raw Values'!U2+'Raw Values'!X2+'Raw Values'!Z2)</f>
        <v>378.29998699999999</v>
      </c>
      <c r="Y2" s="21">
        <f>('Raw Values'!X2+'Raw Values'!AA2*302)*(0.1^(0.333/('Raw Values'!AE2)))+T2</f>
        <v>27.003813537882714</v>
      </c>
      <c r="Z2" s="15">
        <f>'Raw Values'!V2</f>
        <v>72.23</v>
      </c>
      <c r="AA2" s="22">
        <f>'Raw Values'!AC2</f>
        <v>0.44992700000000002</v>
      </c>
      <c r="AB2" s="22">
        <f>'Raw Values'!AE2</f>
        <v>0.81120000000000003</v>
      </c>
      <c r="AC2" s="23">
        <f>'Raw Values'!AH2</f>
        <v>48.2</v>
      </c>
      <c r="AD2" s="11">
        <f>'Raw Values'!AG2</f>
        <v>60</v>
      </c>
      <c r="AE2" s="11">
        <f>'Raw Values'!AI2</f>
        <v>18</v>
      </c>
      <c r="AF2" s="17" t="s">
        <v>37</v>
      </c>
      <c r="AG2" s="24">
        <f>'Damage @Range'!Y2</f>
        <v>2233.8883320960222</v>
      </c>
      <c r="AH2" s="24">
        <f>'Damage @Range(Armor)'!AA2</f>
        <v>2017.2290650365812</v>
      </c>
    </row>
    <row r="3" spans="1:34" ht="15.75" customHeight="1" x14ac:dyDescent="0.15">
      <c r="A3" s="9" t="s">
        <v>38</v>
      </c>
      <c r="B3" s="10">
        <f>'Raw Values'!K3</f>
        <v>600</v>
      </c>
      <c r="C3" s="10">
        <f>'Raw Values'!H3</f>
        <v>300</v>
      </c>
      <c r="D3" s="11">
        <f>'Raw Values'!C3</f>
        <v>86</v>
      </c>
      <c r="E3" s="11">
        <f>'Raw Values'!O3</f>
        <v>1</v>
      </c>
      <c r="F3" s="12">
        <f>SUM('Raw Values'!B3/2)</f>
        <v>0.93200000000000005</v>
      </c>
      <c r="G3" s="13">
        <f>SUM(1-'Raw Values'!D3)</f>
        <v>6.0000000000000053E-2</v>
      </c>
      <c r="H3" s="14">
        <f>'Raw Values'!$E3</f>
        <v>4</v>
      </c>
      <c r="I3" s="15">
        <f>SUM(60/'Raw Values'!F3)</f>
        <v>120</v>
      </c>
      <c r="J3" s="16">
        <f>'Raw Values'!G3</f>
        <v>2</v>
      </c>
      <c r="K3" s="11">
        <f>'Raw Values'!J3</f>
        <v>8</v>
      </c>
      <c r="L3" s="17">
        <v>8</v>
      </c>
      <c r="M3" s="11">
        <f>'Raw Values'!I3</f>
        <v>180</v>
      </c>
      <c r="N3" s="16">
        <f>SUM(1-'Raw Values'!Q3)</f>
        <v>0.6</v>
      </c>
      <c r="O3" s="18">
        <f>'Raw Values'!L3</f>
        <v>4096</v>
      </c>
      <c r="P3" s="17" t="s">
        <v>39</v>
      </c>
      <c r="Q3" s="17" t="s">
        <v>36</v>
      </c>
      <c r="R3" s="25" t="s">
        <v>40</v>
      </c>
      <c r="S3" s="25" t="s">
        <v>40</v>
      </c>
      <c r="T3" s="26" t="s">
        <v>40</v>
      </c>
      <c r="U3" s="26" t="s">
        <v>40</v>
      </c>
      <c r="V3" s="26" t="s">
        <v>40</v>
      </c>
      <c r="W3" s="15">
        <f>SUM('Raw Values'!S3 + ('Raw Values'!AB3*2))</f>
        <v>24.52</v>
      </c>
      <c r="X3" s="20">
        <f>('Raw Values'!S3+'Raw Values'!U3+'Raw Values'!X3)</f>
        <v>55.75</v>
      </c>
      <c r="Y3" s="20" t="e">
        <f>('Raw Values'!X3+'Raw Values'!AA3*302)*(0.1^(0.333/('Raw Values'!AE3)))+T3</f>
        <v>#VALUE!</v>
      </c>
      <c r="Z3" s="15">
        <f>'Raw Values'!V3</f>
        <v>50</v>
      </c>
      <c r="AA3" s="22">
        <f>'Raw Values'!AC3</f>
        <v>0.7</v>
      </c>
      <c r="AB3" s="22">
        <f>'Raw Values'!AE3</f>
        <v>0.9</v>
      </c>
      <c r="AC3" s="23">
        <f>'Raw Values'!AH3</f>
        <v>20</v>
      </c>
      <c r="AD3" s="11">
        <f>'Raw Values'!AG3</f>
        <v>40</v>
      </c>
      <c r="AE3" s="11">
        <f>'Raw Values'!AI3</f>
        <v>0</v>
      </c>
      <c r="AF3" s="17" t="s">
        <v>41</v>
      </c>
      <c r="AG3" s="24">
        <f>'Damage @Range'!Y3</f>
        <v>9983.542709590045</v>
      </c>
      <c r="AH3" s="24">
        <f>'Damage @Range(Armor)'!AA3</f>
        <v>9414.4760040425554</v>
      </c>
    </row>
    <row r="4" spans="1:34" ht="15.75" customHeight="1" x14ac:dyDescent="0.15">
      <c r="A4" s="9" t="s">
        <v>42</v>
      </c>
      <c r="B4" s="27" t="s">
        <v>43</v>
      </c>
      <c r="C4" s="27" t="s">
        <v>43</v>
      </c>
      <c r="D4" s="17" t="s">
        <v>43</v>
      </c>
      <c r="E4" s="17" t="s">
        <v>43</v>
      </c>
      <c r="F4" s="28" t="s">
        <v>43</v>
      </c>
      <c r="G4" s="29" t="s">
        <v>43</v>
      </c>
      <c r="H4" s="14" t="s">
        <v>43</v>
      </c>
      <c r="I4" s="15">
        <f>SUM(60/'Raw Values'!AY3)</f>
        <v>150</v>
      </c>
      <c r="J4" s="30" t="s">
        <v>43</v>
      </c>
      <c r="K4" s="17" t="s">
        <v>43</v>
      </c>
      <c r="L4" s="17" t="s">
        <v>43</v>
      </c>
      <c r="M4" s="11">
        <f>'Raw Values'!AU3</f>
        <v>220</v>
      </c>
      <c r="N4" s="30" t="s">
        <v>43</v>
      </c>
      <c r="O4" s="31" t="s">
        <v>43</v>
      </c>
      <c r="P4" s="17" t="s">
        <v>35</v>
      </c>
      <c r="Q4" s="32" t="s">
        <v>36</v>
      </c>
      <c r="R4" s="19">
        <f t="shared" ref="R4:S4" si="1">152.4 / T4</f>
        <v>1.905</v>
      </c>
      <c r="S4" s="19">
        <f t="shared" si="1"/>
        <v>2.0876712328767124</v>
      </c>
      <c r="T4" s="15">
        <f>SUM('Raw Values'!AJ3+'Raw Values'!AL3)</f>
        <v>80</v>
      </c>
      <c r="U4" s="15">
        <f>SUM('Raw Values'!AJ3+'Raw Values'!AK3)</f>
        <v>73</v>
      </c>
      <c r="V4" s="15">
        <f>SUM('Raw Values'!AJ3+'Raw Values'!AL3+'Raw Values'!AN3)</f>
        <v>116</v>
      </c>
      <c r="W4" s="15">
        <f>SUM('Raw Values'!AJ3 + ('Raw Values'!AQ3*2))</f>
        <v>138</v>
      </c>
      <c r="X4" s="20">
        <f>('Raw Values'!AJ3+'Raw Values'!AL3+'Raw Values'!AO3)</f>
        <v>133.22999999999999</v>
      </c>
      <c r="Y4" s="20">
        <f>('Raw Values'!AO3+'Raw Values'!AP3*302)*(0.1^(0.333/('Raw Values'!AE3)))+T4</f>
        <v>122.03087998752093</v>
      </c>
      <c r="Z4" s="15">
        <f>'Raw Values'!AM3</f>
        <v>55</v>
      </c>
      <c r="AA4" s="33" t="s">
        <v>43</v>
      </c>
      <c r="AB4" s="33" t="s">
        <v>43</v>
      </c>
      <c r="AC4" s="23">
        <f>'Raw Values'!AS3</f>
        <v>45</v>
      </c>
      <c r="AD4" s="18">
        <f>'Raw Values'!AR3</f>
        <v>50</v>
      </c>
      <c r="AE4" s="18">
        <f>'Raw Values'!AT3</f>
        <v>6</v>
      </c>
      <c r="AF4" s="17" t="s">
        <v>37</v>
      </c>
      <c r="AG4" s="34" t="s">
        <v>43</v>
      </c>
      <c r="AH4" s="34" t="s">
        <v>43</v>
      </c>
    </row>
    <row r="5" spans="1:34" ht="15.75" customHeight="1" x14ac:dyDescent="0.15">
      <c r="A5" s="9" t="s">
        <v>44</v>
      </c>
      <c r="B5" s="10">
        <f>'Raw Values'!K4</f>
        <v>300</v>
      </c>
      <c r="C5" s="10">
        <f>'Raw Values'!H4</f>
        <v>300</v>
      </c>
      <c r="D5" s="11">
        <f>'Raw Values'!C4</f>
        <v>38</v>
      </c>
      <c r="E5" s="11">
        <f>'Raw Values'!O4</f>
        <v>1</v>
      </c>
      <c r="F5" s="12">
        <f>SUM('Raw Values'!B4/2)</f>
        <v>0.57499999999999996</v>
      </c>
      <c r="G5" s="13">
        <f>SUM(1-'Raw Values'!D4)</f>
        <v>0.20999999999999996</v>
      </c>
      <c r="H5" s="14">
        <f>'Raw Values'!$E4</f>
        <v>4</v>
      </c>
      <c r="I5" s="15">
        <f>SUM(60/'Raw Values'!F4)</f>
        <v>500</v>
      </c>
      <c r="J5" s="16">
        <f>'Raw Values'!G4</f>
        <v>1</v>
      </c>
      <c r="K5" s="11">
        <f>'Raw Values'!J4</f>
        <v>30</v>
      </c>
      <c r="L5" s="17">
        <v>120</v>
      </c>
      <c r="M5" s="11">
        <f>'Raw Values'!I4</f>
        <v>240</v>
      </c>
      <c r="N5" s="16">
        <f>SUM(1-'Raw Values'!Q4)</f>
        <v>0.5</v>
      </c>
      <c r="O5" s="18">
        <f>'Raw Values'!L4</f>
        <v>4096</v>
      </c>
      <c r="P5" s="17" t="s">
        <v>35</v>
      </c>
      <c r="Q5" s="17" t="s">
        <v>45</v>
      </c>
      <c r="R5" s="19">
        <f t="shared" ref="R5:S5" si="2">152.4 / T5</f>
        <v>16.933333333333334</v>
      </c>
      <c r="S5" s="19">
        <f t="shared" si="2"/>
        <v>21.020689655172415</v>
      </c>
      <c r="T5" s="15">
        <f>SUM('Raw Values'!S4+'Raw Values'!U4)</f>
        <v>9</v>
      </c>
      <c r="U5" s="15">
        <f>SUM('Raw Values'!S4+'Raw Values'!T4)</f>
        <v>7.25</v>
      </c>
      <c r="V5" s="15">
        <f>SUM('Raw Values'!S4+'Raw Values'!U4+'Raw Values'!W4)</f>
        <v>26.85</v>
      </c>
      <c r="W5" s="15">
        <f>SUM('Raw Values'!S4 + ('Raw Values'!AB4*2))</f>
        <v>206</v>
      </c>
      <c r="X5" s="20">
        <f>('Raw Values'!S4+'Raw Values'!U4+'Raw Values'!X4)</f>
        <v>167.41999799999999</v>
      </c>
      <c r="Y5" s="20">
        <f>('Raw Values'!X4+'Raw Values'!AA4*302)*(0.1^(0.333/('Raw Values'!AE4)))+T5</f>
        <v>63.646555753963426</v>
      </c>
      <c r="Z5" s="15">
        <f>'Raw Values'!V4</f>
        <v>11.16</v>
      </c>
      <c r="AA5" s="22">
        <f>'Raw Values'!AC4</f>
        <v>0.43749100000000002</v>
      </c>
      <c r="AB5" s="22">
        <f>'Raw Values'!AE4</f>
        <v>0.52498900000000004</v>
      </c>
      <c r="AC5" s="23">
        <f>'Raw Values'!AH4</f>
        <v>27</v>
      </c>
      <c r="AD5" s="11">
        <f>'Raw Values'!AG4</f>
        <v>20</v>
      </c>
      <c r="AE5" s="11">
        <f>'Raw Values'!AI4</f>
        <v>4</v>
      </c>
      <c r="AF5" s="17" t="s">
        <v>37</v>
      </c>
      <c r="AG5" s="24">
        <f>'Damage @Range'!Y4</f>
        <v>888.14311440871359</v>
      </c>
      <c r="AH5" s="24" t="str">
        <f>'Damage @Range(Armor)'!AA4</f>
        <v>N/A</v>
      </c>
    </row>
    <row r="6" spans="1:34" ht="15.75" customHeight="1" x14ac:dyDescent="0.15">
      <c r="A6" s="35" t="s">
        <v>46</v>
      </c>
      <c r="B6" s="10">
        <f>'Raw Values'!K5</f>
        <v>500</v>
      </c>
      <c r="C6" s="10">
        <f>'Raw Values'!H5</f>
        <v>300</v>
      </c>
      <c r="D6" s="11">
        <f>'Raw Values'!C5</f>
        <v>32</v>
      </c>
      <c r="E6" s="11">
        <f>'Raw Values'!O5</f>
        <v>1</v>
      </c>
      <c r="F6" s="12">
        <f>SUM('Raw Values'!B5/2)</f>
        <v>0.91149999999999998</v>
      </c>
      <c r="G6" s="13">
        <f>SUM(1-'Raw Values'!D5)</f>
        <v>0.18999999999999995</v>
      </c>
      <c r="H6" s="14">
        <f>'Raw Values'!$E5</f>
        <v>4</v>
      </c>
      <c r="I6" s="15">
        <f>SUM(60/'Raw Values'!F5)</f>
        <v>400</v>
      </c>
      <c r="J6" s="16">
        <f>'Raw Values'!G5</f>
        <v>1</v>
      </c>
      <c r="K6" s="11">
        <f>'Raw Values'!J5</f>
        <v>20</v>
      </c>
      <c r="L6" s="17">
        <v>100</v>
      </c>
      <c r="M6" s="11">
        <f>'Raw Values'!I5</f>
        <v>240</v>
      </c>
      <c r="N6" s="16">
        <f>SUM(1-'Raw Values'!Q5)</f>
        <v>0.5</v>
      </c>
      <c r="O6" s="18">
        <f>'Raw Values'!L5</f>
        <v>4096</v>
      </c>
      <c r="P6" s="17" t="s">
        <v>35</v>
      </c>
      <c r="Q6" s="17" t="s">
        <v>36</v>
      </c>
      <c r="R6" s="19">
        <f t="shared" ref="R6:S6" si="3">152.4 / T6</f>
        <v>13.72972972972973</v>
      </c>
      <c r="S6" s="19">
        <f t="shared" si="3"/>
        <v>17.259343148357871</v>
      </c>
      <c r="T6" s="15">
        <f>SUM('Raw Values'!S5+'Raw Values'!U5)</f>
        <v>11.1</v>
      </c>
      <c r="U6" s="15">
        <f>SUM('Raw Values'!S5+'Raw Values'!T5)</f>
        <v>8.83</v>
      </c>
      <c r="V6" s="15">
        <f>SUM('Raw Values'!S5+'Raw Values'!U5+'Raw Values'!W5)</f>
        <v>51.1</v>
      </c>
      <c r="W6" s="15">
        <f>SUM('Raw Values'!S5 + ('Raw Values'!AB5*2))</f>
        <v>278</v>
      </c>
      <c r="X6" s="20">
        <f>('Raw Values'!S5+'Raw Values'!U5+'Raw Values'!X5)</f>
        <v>100.79999699999999</v>
      </c>
      <c r="Y6" s="20">
        <f>('Raw Values'!X5+'Raw Values'!AA5*302)*(0.1^(0.333/('Raw Values'!AE5)))+T6</f>
        <v>14.280926339816146</v>
      </c>
      <c r="Z6" s="15">
        <f>'Raw Values'!V5</f>
        <v>25</v>
      </c>
      <c r="AA6" s="22">
        <f>'Raw Values'!AC5</f>
        <v>0.2</v>
      </c>
      <c r="AB6" s="22">
        <f>'Raw Values'!AE5</f>
        <v>0.2</v>
      </c>
      <c r="AC6" s="23">
        <f>'Raw Values'!AH5</f>
        <v>25</v>
      </c>
      <c r="AD6" s="11">
        <f>'Raw Values'!AG5</f>
        <v>5</v>
      </c>
      <c r="AE6" s="11">
        <f>'Raw Values'!AI5</f>
        <v>4</v>
      </c>
      <c r="AF6" s="17" t="s">
        <v>37</v>
      </c>
      <c r="AG6" s="24">
        <f>'Damage @Range'!Y5</f>
        <v>585.75092478960562</v>
      </c>
      <c r="AH6" s="24">
        <f>'Damage @Range(Armor)'!AA5</f>
        <v>365.87803340124555</v>
      </c>
    </row>
    <row r="7" spans="1:34" ht="15.75" customHeight="1" x14ac:dyDescent="0.15">
      <c r="A7" s="36" t="s">
        <v>47</v>
      </c>
      <c r="B7" s="10">
        <f>'Raw Values'!K6</f>
        <v>200</v>
      </c>
      <c r="C7" s="10">
        <f>'Raw Values'!H6</f>
        <v>300</v>
      </c>
      <c r="D7" s="11">
        <f>'Raw Values'!C6</f>
        <v>30</v>
      </c>
      <c r="E7" s="11">
        <f>'Raw Values'!O6</f>
        <v>1</v>
      </c>
      <c r="F7" s="12">
        <f>SUM('Raw Values'!B6/2)</f>
        <v>0.47</v>
      </c>
      <c r="G7" s="13">
        <f>SUM(1-'Raw Values'!D6)</f>
        <v>0.15000000000000002</v>
      </c>
      <c r="H7" s="37">
        <f>'Raw Values'!$E6</f>
        <v>4</v>
      </c>
      <c r="I7" s="15">
        <f>SUM(60/'Raw Values'!F6)</f>
        <v>400</v>
      </c>
      <c r="J7" s="16">
        <f>'Raw Values'!G6</f>
        <v>1</v>
      </c>
      <c r="K7" s="11">
        <f>'Raw Values'!J6</f>
        <v>20</v>
      </c>
      <c r="L7" s="17">
        <v>120</v>
      </c>
      <c r="M7" s="11">
        <f>'Raw Values'!I6</f>
        <v>240</v>
      </c>
      <c r="N7" s="16">
        <f>SUM(1-'Raw Values'!Q6)</f>
        <v>0.5</v>
      </c>
      <c r="O7" s="18">
        <f>'Raw Values'!L6</f>
        <v>4096</v>
      </c>
      <c r="P7" s="17" t="s">
        <v>35</v>
      </c>
      <c r="Q7" s="17" t="s">
        <v>36</v>
      </c>
      <c r="R7" s="19">
        <f t="shared" ref="R7:S7" si="4">152.4 / T7</f>
        <v>20.05263157894737</v>
      </c>
      <c r="S7" s="19">
        <f t="shared" si="4"/>
        <v>24.580645161290324</v>
      </c>
      <c r="T7" s="15">
        <f>SUM('Raw Values'!S6+'Raw Values'!U6)</f>
        <v>7.6</v>
      </c>
      <c r="U7" s="15">
        <f>SUM('Raw Values'!S6+'Raw Values'!T6)</f>
        <v>6.2</v>
      </c>
      <c r="V7" s="15">
        <f>SUM('Raw Values'!S6+'Raw Values'!U6+'Raw Values'!W6)</f>
        <v>17.600000000000001</v>
      </c>
      <c r="W7" s="15">
        <f>SUM('Raw Values'!S6 + ('Raw Values'!AB6*2))</f>
        <v>276</v>
      </c>
      <c r="X7" s="20">
        <f>('Raw Values'!S6+'Raw Values'!U6+'Raw Values'!X6)</f>
        <v>95.470002999999991</v>
      </c>
      <c r="Y7" s="20">
        <f>('Raw Values'!X6+'Raw Values'!AA6*302)*(0.1^(0.333/('Raw Values'!AE6)))+T7</f>
        <v>10.708691670886775</v>
      </c>
      <c r="Z7" s="15">
        <f>'Raw Values'!V6</f>
        <v>56</v>
      </c>
      <c r="AA7" s="22">
        <f>'Raw Values'!AC6</f>
        <v>0.2</v>
      </c>
      <c r="AB7" s="22">
        <f>'Raw Values'!AE6</f>
        <v>0.2</v>
      </c>
      <c r="AC7" s="23">
        <f>'Raw Values'!AH6</f>
        <v>18</v>
      </c>
      <c r="AD7" s="11">
        <f>'Raw Values'!AG6</f>
        <v>20</v>
      </c>
      <c r="AE7" s="11">
        <f>'Raw Values'!AI6</f>
        <v>0</v>
      </c>
      <c r="AF7" s="17" t="s">
        <v>37</v>
      </c>
      <c r="AG7" s="24">
        <f>'Damage @Range'!Y6</f>
        <v>560.92406391481541</v>
      </c>
      <c r="AH7" s="24" t="str">
        <f>'Damage @Range(Armor)'!AA6</f>
        <v>N/A</v>
      </c>
    </row>
    <row r="8" spans="1:34" ht="15.75" customHeight="1" x14ac:dyDescent="0.15">
      <c r="A8" s="36" t="s">
        <v>48</v>
      </c>
      <c r="B8" s="27" t="s">
        <v>43</v>
      </c>
      <c r="C8" s="27" t="s">
        <v>43</v>
      </c>
      <c r="D8" s="17" t="s">
        <v>43</v>
      </c>
      <c r="E8" s="17" t="s">
        <v>43</v>
      </c>
      <c r="F8" s="28" t="s">
        <v>43</v>
      </c>
      <c r="G8" s="29" t="s">
        <v>43</v>
      </c>
      <c r="H8" s="14" t="s">
        <v>43</v>
      </c>
      <c r="I8" s="15">
        <f>SUM(60/'Raw Values'!BA6)</f>
        <v>1200</v>
      </c>
      <c r="J8" s="30" t="s">
        <v>43</v>
      </c>
      <c r="K8" s="17" t="s">
        <v>43</v>
      </c>
      <c r="L8" s="17" t="s">
        <v>43</v>
      </c>
      <c r="M8" s="17" t="s">
        <v>43</v>
      </c>
      <c r="N8" s="30" t="s">
        <v>43</v>
      </c>
      <c r="O8" s="31" t="s">
        <v>43</v>
      </c>
      <c r="P8" s="17" t="s">
        <v>35</v>
      </c>
      <c r="Q8" s="32" t="s">
        <v>36</v>
      </c>
      <c r="R8" s="19">
        <f t="shared" ref="R8:S8" si="5">152.4 / T8</f>
        <v>7.3980582524271838</v>
      </c>
      <c r="S8" s="19">
        <f t="shared" si="5"/>
        <v>8.4666666666666668</v>
      </c>
      <c r="T8" s="15">
        <f>SUM('Raw Values'!AJ6+'Raw Values'!AL6)</f>
        <v>20.6</v>
      </c>
      <c r="U8" s="15">
        <f>SUM('Raw Values'!AJ6+'Raw Values'!AK6)</f>
        <v>18</v>
      </c>
      <c r="V8" s="15">
        <f>SUM('Raw Values'!AJ6+'Raw Values'!AL6+'Raw Values'!AN6)</f>
        <v>33.549999999999997</v>
      </c>
      <c r="W8" s="15">
        <f>SUM('Raw Values'!AJ6 + ('Raw Values'!AQ6*2))</f>
        <v>253.5</v>
      </c>
      <c r="X8" s="20">
        <f>SUM('Raw Values'!AJ6+'Raw Values'!AL6+'Raw Values'!AO6)</f>
        <v>108.47000299999999</v>
      </c>
      <c r="Y8" s="20">
        <f>('Raw Values'!AO6+'Raw Values'!AP6*302)*(0.1^(0.333/('Raw Values'!AE6)))+T8</f>
        <v>23.708691670886779</v>
      </c>
      <c r="Z8" s="15">
        <f>'Raw Values'!AM6</f>
        <v>45</v>
      </c>
      <c r="AA8" s="33" t="s">
        <v>43</v>
      </c>
      <c r="AB8" s="33" t="s">
        <v>43</v>
      </c>
      <c r="AC8" s="23">
        <f>'Raw Values'!AS6</f>
        <v>30</v>
      </c>
      <c r="AD8" s="31" t="s">
        <v>43</v>
      </c>
      <c r="AE8" s="18">
        <f>'Raw Values'!AT6</f>
        <v>5</v>
      </c>
      <c r="AF8" s="17" t="s">
        <v>43</v>
      </c>
      <c r="AG8" s="34" t="s">
        <v>43</v>
      </c>
      <c r="AH8" s="34" t="s">
        <v>43</v>
      </c>
    </row>
    <row r="9" spans="1:34" ht="15.75" customHeight="1" x14ac:dyDescent="0.15">
      <c r="A9" s="35" t="s">
        <v>49</v>
      </c>
      <c r="B9" s="10">
        <f>'Raw Values'!K7</f>
        <v>200</v>
      </c>
      <c r="C9" s="10">
        <f>'Raw Values'!H7</f>
        <v>300</v>
      </c>
      <c r="D9" s="11">
        <f>'Raw Values'!C7</f>
        <v>35</v>
      </c>
      <c r="E9" s="11">
        <f>'Raw Values'!O7</f>
        <v>1</v>
      </c>
      <c r="F9" s="12">
        <f>SUM('Raw Values'!B7/2)</f>
        <v>0.505</v>
      </c>
      <c r="G9" s="13">
        <f>SUM(1-'Raw Values'!D7)</f>
        <v>8.9999999999999969E-2</v>
      </c>
      <c r="H9" s="14">
        <f>'Raw Values'!$E7</f>
        <v>4</v>
      </c>
      <c r="I9" s="15">
        <f>SUM(60/'Raw Values'!F7)</f>
        <v>352.94117647058823</v>
      </c>
      <c r="J9" s="16">
        <f>'Raw Values'!G7</f>
        <v>1</v>
      </c>
      <c r="K9" s="11">
        <f>'Raw Values'!J7</f>
        <v>13</v>
      </c>
      <c r="L9" s="17">
        <v>52</v>
      </c>
      <c r="M9" s="11">
        <f>'Raw Values'!I7</f>
        <v>240</v>
      </c>
      <c r="N9" s="16">
        <f>SUM(1-'Raw Values'!Q7)</f>
        <v>0.5</v>
      </c>
      <c r="O9" s="18">
        <f>'Raw Values'!L7</f>
        <v>4096</v>
      </c>
      <c r="P9" s="17" t="s">
        <v>35</v>
      </c>
      <c r="Q9" s="17" t="s">
        <v>36</v>
      </c>
      <c r="R9" s="19">
        <f t="shared" ref="R9:S9" si="6">152.4 / T9</f>
        <v>22.086956521739129</v>
      </c>
      <c r="S9" s="19">
        <f t="shared" si="6"/>
        <v>26.83098591549296</v>
      </c>
      <c r="T9" s="15">
        <f>SUM('Raw Values'!S7+'Raw Values'!U7)</f>
        <v>6.9</v>
      </c>
      <c r="U9" s="15">
        <f>SUM('Raw Values'!S7+'Raw Values'!T7)</f>
        <v>5.68</v>
      </c>
      <c r="V9" s="15">
        <f>SUM('Raw Values'!S7+'Raw Values'!U7+'Raw Values'!W7)</f>
        <v>19.899999999999999</v>
      </c>
      <c r="W9" s="15">
        <f>SUM('Raw Values'!S7 + ('Raw Values'!AB7*2))</f>
        <v>278.64</v>
      </c>
      <c r="X9" s="20">
        <f>('Raw Values'!S7+'Raw Values'!U7+'Raw Values'!X7)</f>
        <v>101.380003</v>
      </c>
      <c r="Y9" s="20">
        <f>('Raw Values'!X7+'Raw Values'!AA7*302)*(0.1^(0.333/('Raw Values'!AE7)))+T9</f>
        <v>23.86694866231035</v>
      </c>
      <c r="Z9" s="15">
        <f>'Raw Values'!V7</f>
        <v>50</v>
      </c>
      <c r="AA9" s="22">
        <f>'Raw Values'!AC7</f>
        <v>0.29127700000000001</v>
      </c>
      <c r="AB9" s="22">
        <f>'Raw Values'!AE7</f>
        <v>0.34953200000000001</v>
      </c>
      <c r="AC9" s="23">
        <f>'Raw Values'!AH7</f>
        <v>26</v>
      </c>
      <c r="AD9" s="11">
        <f>'Raw Values'!AG7</f>
        <v>0</v>
      </c>
      <c r="AE9" s="11">
        <f>'Raw Values'!AI7</f>
        <v>0</v>
      </c>
      <c r="AF9" s="17" t="s">
        <v>37</v>
      </c>
      <c r="AG9" s="24">
        <f>'Damage @Range'!Y7</f>
        <v>1783.8501350412566</v>
      </c>
      <c r="AH9" s="24" t="str">
        <f>'Damage @Range(Armor)'!AA7</f>
        <v>N/A</v>
      </c>
    </row>
    <row r="10" spans="1:34" ht="15.75" customHeight="1" x14ac:dyDescent="0.15">
      <c r="A10" s="35" t="s">
        <v>290</v>
      </c>
      <c r="B10" s="10">
        <f>'Raw Values'!K8</f>
        <v>200</v>
      </c>
      <c r="C10" s="10">
        <f>'Raw Values'!H8</f>
        <v>300</v>
      </c>
      <c r="D10" s="11">
        <f>'Raw Values'!C8</f>
        <v>35</v>
      </c>
      <c r="E10" s="11">
        <f>'Raw Values'!O8</f>
        <v>1</v>
      </c>
      <c r="F10" s="12">
        <f>SUM('Raw Values'!B8/2)</f>
        <v>0.505</v>
      </c>
      <c r="G10" s="13">
        <f>SUM(1-'Raw Values'!D8)</f>
        <v>8.9999999999999969E-2</v>
      </c>
      <c r="H10" s="14">
        <f>'Raw Values'!$E8</f>
        <v>4</v>
      </c>
      <c r="I10" s="15">
        <f>SUM(60/'Raw Values'!F8)</f>
        <v>352.94117647058823</v>
      </c>
      <c r="J10" s="16">
        <f>'Raw Values'!G8</f>
        <v>1</v>
      </c>
      <c r="K10" s="11">
        <f>'Raw Values'!J8</f>
        <v>12</v>
      </c>
      <c r="L10" s="17">
        <v>24</v>
      </c>
      <c r="M10" s="11">
        <f>'Raw Values'!I8</f>
        <v>240</v>
      </c>
      <c r="N10" s="16">
        <f>SUM(1-'Raw Values'!Q8)</f>
        <v>0.5</v>
      </c>
      <c r="O10" s="18">
        <f>'Raw Values'!L8</f>
        <v>4096</v>
      </c>
      <c r="P10" s="17" t="s">
        <v>35</v>
      </c>
      <c r="Q10" s="17" t="s">
        <v>36</v>
      </c>
      <c r="R10" s="19">
        <f t="shared" ref="R10:S10" si="7">152.4 / T10</f>
        <v>20.594594594594593</v>
      </c>
      <c r="S10" s="19">
        <f t="shared" si="7"/>
        <v>24.660194174757283</v>
      </c>
      <c r="T10" s="15">
        <f>SUM('Raw Values'!S8+'Raw Values'!U8)</f>
        <v>7.4</v>
      </c>
      <c r="U10" s="15">
        <f>SUM('Raw Values'!S8+'Raw Values'!T8)</f>
        <v>6.18</v>
      </c>
      <c r="V10" s="15">
        <f>SUM('Raw Values'!S8+'Raw Values'!U8+'Raw Values'!W8)</f>
        <v>21.27</v>
      </c>
      <c r="W10" s="15">
        <f>SUM('Raw Values'!S8 + ('Raw Values'!AB8*2))</f>
        <v>279.14</v>
      </c>
      <c r="X10" s="20">
        <f>('Raw Values'!S8+'Raw Values'!U8+'Raw Values'!X8)</f>
        <v>101.880003</v>
      </c>
      <c r="Y10" s="20">
        <f>('Raw Values'!X8+'Raw Values'!AA8*302)*(0.1^(0.333/('Raw Values'!AE8)))+T10</f>
        <v>24.36694866231035</v>
      </c>
      <c r="Z10" s="15">
        <f>'Raw Values'!V8</f>
        <v>71</v>
      </c>
      <c r="AA10" s="22">
        <f>'Raw Values'!AC8</f>
        <v>0.29127700000000001</v>
      </c>
      <c r="AB10" s="22">
        <f>'Raw Values'!AE8</f>
        <v>0.34953200000000001</v>
      </c>
      <c r="AC10" s="23">
        <f>'Raw Values'!AH8</f>
        <v>29</v>
      </c>
      <c r="AD10" s="11">
        <f>'Raw Values'!AG8</f>
        <v>0</v>
      </c>
      <c r="AE10" s="11">
        <f>'Raw Values'!AI8</f>
        <v>0</v>
      </c>
      <c r="AF10" s="17" t="s">
        <v>37</v>
      </c>
      <c r="AG10" s="24">
        <f>'Damage @Range'!Y8</f>
        <v>1783.8501350412566</v>
      </c>
      <c r="AH10" s="24" t="str">
        <f>'Damage @Range(Armor)'!AA8</f>
        <v>N/A</v>
      </c>
    </row>
    <row r="11" spans="1:34" ht="15.75" customHeight="1" x14ac:dyDescent="0.15">
      <c r="A11" s="35" t="s">
        <v>311</v>
      </c>
      <c r="B11" s="27" t="s">
        <v>43</v>
      </c>
      <c r="C11" s="27" t="s">
        <v>43</v>
      </c>
      <c r="D11" s="17" t="s">
        <v>43</v>
      </c>
      <c r="E11" s="17" t="s">
        <v>43</v>
      </c>
      <c r="F11" s="28" t="s">
        <v>43</v>
      </c>
      <c r="G11" s="29" t="s">
        <v>43</v>
      </c>
      <c r="H11" s="14" t="s">
        <v>43</v>
      </c>
      <c r="I11" s="38" t="s">
        <v>43</v>
      </c>
      <c r="J11" s="30" t="s">
        <v>43</v>
      </c>
      <c r="K11" s="17" t="s">
        <v>43</v>
      </c>
      <c r="L11" s="17" t="s">
        <v>43</v>
      </c>
      <c r="M11" s="17" t="s">
        <v>43</v>
      </c>
      <c r="N11" s="30" t="s">
        <v>43</v>
      </c>
      <c r="O11" s="31" t="s">
        <v>43</v>
      </c>
      <c r="P11" s="17" t="s">
        <v>43</v>
      </c>
      <c r="Q11" s="17" t="s">
        <v>45</v>
      </c>
      <c r="R11" s="19">
        <f t="shared" ref="R11:S11" si="8">152.4 / T11</f>
        <v>23.8125</v>
      </c>
      <c r="S11" s="19">
        <f t="shared" si="8"/>
        <v>29.420849420849425</v>
      </c>
      <c r="T11" s="15">
        <f>SUM('Raw Values'!AJ8+'Raw Values'!AL8)</f>
        <v>6.4</v>
      </c>
      <c r="U11" s="15">
        <f>SUM('Raw Values'!AJ8+'Raw Values'!AK8)</f>
        <v>5.18</v>
      </c>
      <c r="V11" s="15">
        <f>SUM('Raw Values'!AJ8+'Raw Values'!AL8+'Raw Values'!AN8)</f>
        <v>20.27</v>
      </c>
      <c r="W11" s="15">
        <f>SUM('Raw Values'!AJ8 + ('Raw Values'!AQ8*2))</f>
        <v>241.3</v>
      </c>
      <c r="X11" s="20">
        <f>SUM('Raw Values'!AJ8+'Raw Values'!AL8+'Raw Values'!AO8)</f>
        <v>100.880003</v>
      </c>
      <c r="Y11" s="20">
        <f>('Raw Values'!AO8+'Raw Values'!AP8*302)*(0.1^(0.333/('Raw Values'!AE8)))+T11</f>
        <v>23.602671962246959</v>
      </c>
      <c r="Z11" s="15">
        <f>'Raw Values'!AM8</f>
        <v>52</v>
      </c>
      <c r="AA11" s="33" t="s">
        <v>43</v>
      </c>
      <c r="AB11" s="33" t="s">
        <v>43</v>
      </c>
      <c r="AC11" s="23">
        <f>'Raw Values'!AS8</f>
        <v>23</v>
      </c>
      <c r="AD11" s="31" t="s">
        <v>43</v>
      </c>
      <c r="AE11" s="17" t="s">
        <v>43</v>
      </c>
      <c r="AF11" s="17" t="s">
        <v>43</v>
      </c>
      <c r="AG11" s="34" t="s">
        <v>43</v>
      </c>
      <c r="AH11" s="34" t="s">
        <v>43</v>
      </c>
    </row>
    <row r="12" spans="1:34" ht="15.75" customHeight="1" x14ac:dyDescent="0.15">
      <c r="A12" s="9" t="s">
        <v>50</v>
      </c>
      <c r="B12" s="10">
        <f>'Raw Values'!K9</f>
        <v>300</v>
      </c>
      <c r="C12" s="10">
        <f>'Raw Values'!H9</f>
        <v>300</v>
      </c>
      <c r="D12" s="11">
        <f>'Raw Values'!C9</f>
        <v>38</v>
      </c>
      <c r="E12" s="11">
        <f>'Raw Values'!O9</f>
        <v>1</v>
      </c>
      <c r="F12" s="12">
        <f>SUM('Raw Values'!B9/2)</f>
        <v>0.64</v>
      </c>
      <c r="G12" s="13">
        <f>SUM(1-'Raw Values'!D9)</f>
        <v>9.9999999999999978E-2</v>
      </c>
      <c r="H12" s="14">
        <f>'Raw Values'!$E9</f>
        <v>4</v>
      </c>
      <c r="I12" s="15">
        <f>SUM(60/'Raw Values'!F9)</f>
        <v>400</v>
      </c>
      <c r="J12" s="16">
        <f>'Raw Values'!G9</f>
        <v>1</v>
      </c>
      <c r="K12" s="11">
        <f>'Raw Values'!J9</f>
        <v>13</v>
      </c>
      <c r="L12" s="17">
        <v>26</v>
      </c>
      <c r="M12" s="11">
        <f>'Raw Values'!I9</f>
        <v>240</v>
      </c>
      <c r="N12" s="16">
        <f>SUM(1-'Raw Values'!Q9)</f>
        <v>0.5</v>
      </c>
      <c r="O12" s="18">
        <f>'Raw Values'!L9</f>
        <v>4096</v>
      </c>
      <c r="P12" s="17" t="s">
        <v>35</v>
      </c>
      <c r="Q12" s="17" t="s">
        <v>36</v>
      </c>
      <c r="R12" s="19">
        <f t="shared" ref="R12:S12" si="9">152.4 / T12</f>
        <v>13.72972972972973</v>
      </c>
      <c r="S12" s="19">
        <f t="shared" si="9"/>
        <v>17.259343148357871</v>
      </c>
      <c r="T12" s="15">
        <f>SUM('Raw Values'!S9+'Raw Values'!U9)</f>
        <v>11.1</v>
      </c>
      <c r="U12" s="15">
        <f>SUM('Raw Values'!S9+'Raw Values'!T9)</f>
        <v>8.83</v>
      </c>
      <c r="V12" s="15">
        <f>SUM('Raw Values'!S9+'Raw Values'!U9+'Raw Values'!W9)</f>
        <v>31.1</v>
      </c>
      <c r="W12" s="15">
        <f>SUM('Raw Values'!S9 + ('Raw Values'!AB9*2))</f>
        <v>278</v>
      </c>
      <c r="X12" s="20">
        <f>('Raw Values'!S9+'Raw Values'!U9+'Raw Values'!X9)</f>
        <v>104.05999899999999</v>
      </c>
      <c r="Y12" s="20">
        <f>('Raw Values'!X9+'Raw Values'!AA9*302)*(0.1^(0.333/('Raw Values'!AE9)))+T12</f>
        <v>27.428318085927849</v>
      </c>
      <c r="Z12" s="15">
        <f>'Raw Values'!V9</f>
        <v>52.45</v>
      </c>
      <c r="AA12" s="22">
        <f>'Raw Values'!AC9</f>
        <v>0.287823</v>
      </c>
      <c r="AB12" s="22">
        <f>'Raw Values'!AE9</f>
        <v>0.34538799999999997</v>
      </c>
      <c r="AC12" s="23">
        <f>'Raw Values'!AH9</f>
        <v>26</v>
      </c>
      <c r="AD12" s="11">
        <f>'Raw Values'!AG9</f>
        <v>10</v>
      </c>
      <c r="AE12" s="11">
        <f>'Raw Values'!AI9</f>
        <v>3</v>
      </c>
      <c r="AF12" s="17" t="s">
        <v>37</v>
      </c>
      <c r="AG12" s="24">
        <f>'Damage @Range'!Y9</f>
        <v>1987.0362832031315</v>
      </c>
      <c r="AH12" s="24" t="str">
        <f>'Damage @Range(Armor)'!AA9</f>
        <v>N/A</v>
      </c>
    </row>
    <row r="13" spans="1:34" ht="15.75" customHeight="1" x14ac:dyDescent="0.15">
      <c r="A13" s="9" t="s">
        <v>309</v>
      </c>
      <c r="B13" s="10">
        <f>'Raw Values'!K10</f>
        <v>500</v>
      </c>
      <c r="C13" s="10">
        <f>'Raw Values'!H10</f>
        <v>100</v>
      </c>
      <c r="D13" s="11">
        <f>'Raw Values'!C10</f>
        <v>31</v>
      </c>
      <c r="E13" s="11">
        <f>'Raw Values'!O10</f>
        <v>1</v>
      </c>
      <c r="F13" s="12">
        <f>SUM('Raw Values'!B10/2)</f>
        <v>0.77649999999999997</v>
      </c>
      <c r="G13" s="13">
        <f>SUM(1-'Raw Values'!D10)</f>
        <v>0.15000000000000002</v>
      </c>
      <c r="H13" s="14">
        <f>'Raw Values'!$E10</f>
        <v>4</v>
      </c>
      <c r="I13" s="15">
        <f>SUM(60/'Raw Values'!F10)</f>
        <v>600</v>
      </c>
      <c r="J13" s="16">
        <f>'Raw Values'!G10</f>
        <v>1</v>
      </c>
      <c r="K13" s="11">
        <f>'Raw Values'!J10</f>
        <v>12</v>
      </c>
      <c r="L13" s="17">
        <v>12</v>
      </c>
      <c r="M13" s="11">
        <f>'Raw Values'!I10</f>
        <v>240</v>
      </c>
      <c r="N13" s="16">
        <f>SUM(1-'Raw Values'!Q10)</f>
        <v>0.5</v>
      </c>
      <c r="O13" s="18">
        <f>'Raw Values'!L10</f>
        <v>4096</v>
      </c>
      <c r="P13" s="17" t="s">
        <v>39</v>
      </c>
      <c r="Q13" s="17" t="s">
        <v>36</v>
      </c>
      <c r="R13" s="19">
        <f t="shared" ref="R13:S13" si="10">152.4 / T13</f>
        <v>11.347728965003723</v>
      </c>
      <c r="S13" s="19">
        <f t="shared" si="10"/>
        <v>14.377358490566039</v>
      </c>
      <c r="T13" s="15">
        <f>SUM('Raw Values'!S10+'Raw Values'!U10)</f>
        <v>13.43</v>
      </c>
      <c r="U13" s="15">
        <f>SUM('Raw Values'!S10+'Raw Values'!T10)</f>
        <v>10.6</v>
      </c>
      <c r="V13" s="15">
        <f>SUM('Raw Values'!S10+'Raw Values'!U10+'Raw Values'!W10)</f>
        <v>26.84</v>
      </c>
      <c r="W13" s="15">
        <f>SUM('Raw Values'!S10 + ('Raw Values'!AB10*2))</f>
        <v>279</v>
      </c>
      <c r="X13" s="20">
        <f>('Raw Values'!S10+'Raw Values'!U10+'Raw Values'!X10)</f>
        <v>106.38999899999999</v>
      </c>
      <c r="Y13" s="20">
        <f>('Raw Values'!X10+'Raw Values'!AA10*302)*(0.1^(0.333/('Raw Values'!AE10)))+T13</f>
        <v>19.796176377150218</v>
      </c>
      <c r="Z13" s="15">
        <f>'Raw Values'!V10</f>
        <v>35</v>
      </c>
      <c r="AA13" s="22">
        <f>'Raw Values'!AC10</f>
        <v>0.22750000000000001</v>
      </c>
      <c r="AB13" s="22">
        <f>'Raw Values'!AE10</f>
        <v>0.24249999999999999</v>
      </c>
      <c r="AC13" s="23">
        <f>'Raw Values'!AH10</f>
        <v>31</v>
      </c>
      <c r="AD13" s="11">
        <f>'Raw Values'!AG10</f>
        <v>120</v>
      </c>
      <c r="AE13" s="11">
        <f>'Raw Values'!AI10</f>
        <v>6</v>
      </c>
      <c r="AF13" s="17" t="s">
        <v>41</v>
      </c>
      <c r="AG13" s="24">
        <f>'Damage @Range'!Y10</f>
        <v>661.80407501358366</v>
      </c>
      <c r="AH13" s="24" t="str">
        <f>'Damage @Range(Armor)'!AA10</f>
        <v>N/A</v>
      </c>
    </row>
    <row r="14" spans="1:34" ht="15.75" customHeight="1" x14ac:dyDescent="0.15">
      <c r="A14" s="36" t="s">
        <v>52</v>
      </c>
      <c r="B14" s="10">
        <f>'Raw Values'!K11</f>
        <v>500</v>
      </c>
      <c r="C14" s="10">
        <f>'Raw Values'!H11</f>
        <v>300</v>
      </c>
      <c r="D14" s="11">
        <f>'Raw Values'!C11</f>
        <v>33</v>
      </c>
      <c r="E14" s="11">
        <f>'Raw Values'!O11</f>
        <v>1</v>
      </c>
      <c r="F14" s="12">
        <f>SUM('Raw Values'!B11/2)</f>
        <v>0.90600000000000003</v>
      </c>
      <c r="G14" s="13">
        <f>SUM(1-'Raw Values'!D11)</f>
        <v>0.20999999999999996</v>
      </c>
      <c r="H14" s="14">
        <f>'Raw Values'!$E11</f>
        <v>4</v>
      </c>
      <c r="I14" s="15">
        <f>SUM(60/'Raw Values'!F11)</f>
        <v>500</v>
      </c>
      <c r="J14" s="16">
        <f>'Raw Values'!G11</f>
        <v>1</v>
      </c>
      <c r="K14" s="11">
        <f>'Raw Values'!J11</f>
        <v>18</v>
      </c>
      <c r="L14" s="32">
        <v>90</v>
      </c>
      <c r="M14" s="11">
        <f>'Raw Values'!I11</f>
        <v>240</v>
      </c>
      <c r="N14" s="16">
        <f>SUM(1-'Raw Values'!Q11)</f>
        <v>0.5</v>
      </c>
      <c r="O14" s="18">
        <f>'Raw Values'!L11</f>
        <v>4096</v>
      </c>
      <c r="P14" s="17" t="s">
        <v>35</v>
      </c>
      <c r="Q14" s="17" t="s">
        <v>36</v>
      </c>
      <c r="R14" s="19">
        <f t="shared" ref="R14:S14" si="11">152.4 / T14</f>
        <v>22.086956521739129</v>
      </c>
      <c r="S14" s="19">
        <f t="shared" si="11"/>
        <v>26.83098591549296</v>
      </c>
      <c r="T14" s="15">
        <f>SUM('Raw Values'!S11+'Raw Values'!U11)</f>
        <v>6.9</v>
      </c>
      <c r="U14" s="15">
        <f>SUM('Raw Values'!S11+'Raw Values'!T11)</f>
        <v>5.68</v>
      </c>
      <c r="V14" s="15">
        <f>SUM('Raw Values'!S11+'Raw Values'!U11+'Raw Values'!W11)</f>
        <v>10.71</v>
      </c>
      <c r="W14" s="15">
        <f>SUM('Raw Values'!S11 + ('Raw Values'!AB11*2))</f>
        <v>243.2</v>
      </c>
      <c r="X14" s="20">
        <f>('Raw Values'!S11+'Raw Values'!U11+'Raw Values'!X11)</f>
        <v>86.679999000000009</v>
      </c>
      <c r="Y14" s="20">
        <f>('Raw Values'!X11+'Raw Values'!AA11*302)*(0.1^(0.333/('Raw Values'!AE11)))+T14</f>
        <v>27.092753642736547</v>
      </c>
      <c r="Z14" s="15">
        <f>'Raw Values'!V11</f>
        <v>45</v>
      </c>
      <c r="AA14" s="22">
        <f>'Raw Values'!AC11</f>
        <v>0.315</v>
      </c>
      <c r="AB14" s="22">
        <f>'Raw Values'!AE11</f>
        <v>0.39100000000000001</v>
      </c>
      <c r="AC14" s="23">
        <f>'Raw Values'!AH11</f>
        <v>23</v>
      </c>
      <c r="AD14" s="11">
        <f>'Raw Values'!AG11</f>
        <v>60</v>
      </c>
      <c r="AE14" s="11">
        <f>'Raw Values'!AI11</f>
        <v>3</v>
      </c>
      <c r="AF14" s="17" t="s">
        <v>37</v>
      </c>
      <c r="AG14" s="24">
        <f>'Damage @Range'!Y11</f>
        <v>588.89569870447519</v>
      </c>
      <c r="AH14" s="24">
        <f>'Damage @Range(Armor)'!AA11</f>
        <v>379.50532939877218</v>
      </c>
    </row>
    <row r="15" spans="1:34" ht="15.75" customHeight="1" x14ac:dyDescent="0.15">
      <c r="A15" s="39"/>
      <c r="B15" s="39"/>
      <c r="C15" s="39"/>
      <c r="D15" s="39"/>
      <c r="E15" s="39"/>
      <c r="F15" s="39"/>
      <c r="G15" s="39"/>
      <c r="H15" s="40"/>
      <c r="I15" s="41"/>
      <c r="J15" s="39"/>
      <c r="K15" s="39"/>
      <c r="L15" s="39"/>
      <c r="M15" s="39"/>
      <c r="N15" s="39"/>
      <c r="O15" s="39"/>
      <c r="P15" s="39"/>
      <c r="Q15" s="39"/>
      <c r="R15" s="42"/>
      <c r="S15" s="42"/>
      <c r="T15" s="41"/>
      <c r="U15" s="41"/>
      <c r="V15" s="41"/>
      <c r="W15" s="43"/>
      <c r="X15" s="44"/>
      <c r="Y15" s="43"/>
      <c r="Z15" s="45"/>
      <c r="AA15" s="46"/>
      <c r="AB15" s="46"/>
      <c r="AC15" s="47"/>
      <c r="AD15" s="39"/>
      <c r="AE15" s="39"/>
      <c r="AF15" s="48"/>
      <c r="AG15" s="49"/>
      <c r="AH15" s="49"/>
    </row>
    <row r="16" spans="1:34" ht="15.75" customHeight="1" x14ac:dyDescent="0.15">
      <c r="A16" s="1" t="s">
        <v>53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50" t="s">
        <v>7</v>
      </c>
      <c r="I16" s="4" t="s">
        <v>54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5" t="s">
        <v>17</v>
      </c>
      <c r="S16" s="5" t="s">
        <v>18</v>
      </c>
      <c r="T16" s="4" t="s">
        <v>19</v>
      </c>
      <c r="U16" s="4" t="s">
        <v>20</v>
      </c>
      <c r="V16" s="4" t="s">
        <v>21</v>
      </c>
      <c r="W16" s="4" t="s">
        <v>22</v>
      </c>
      <c r="X16" s="51" t="s">
        <v>23</v>
      </c>
      <c r="Y16" s="4" t="s">
        <v>24</v>
      </c>
      <c r="Z16" s="4" t="s">
        <v>25</v>
      </c>
      <c r="AA16" s="7" t="s">
        <v>26</v>
      </c>
      <c r="AB16" s="7" t="s">
        <v>27</v>
      </c>
      <c r="AC16" s="8" t="s">
        <v>28</v>
      </c>
      <c r="AD16" s="2" t="s">
        <v>29</v>
      </c>
      <c r="AE16" s="2" t="s">
        <v>30</v>
      </c>
      <c r="AF16" s="2" t="s">
        <v>31</v>
      </c>
      <c r="AG16" s="2" t="s">
        <v>32</v>
      </c>
      <c r="AH16" s="2" t="s">
        <v>33</v>
      </c>
    </row>
    <row r="17" spans="1:34" ht="15.75" customHeight="1" x14ac:dyDescent="0.15">
      <c r="A17" s="35" t="s">
        <v>310</v>
      </c>
      <c r="B17" s="10">
        <f>'Raw Values'!K14</f>
        <v>1300</v>
      </c>
      <c r="C17" s="10">
        <f>'Raw Values'!H14</f>
        <v>900</v>
      </c>
      <c r="D17" s="11">
        <f>'Raw Values'!C14</f>
        <v>30</v>
      </c>
      <c r="E17" s="11">
        <f>'Raw Values'!O14</f>
        <v>8</v>
      </c>
      <c r="F17" s="12">
        <f>SUM('Raw Values'!B14/2)</f>
        <v>0.75</v>
      </c>
      <c r="G17" s="52">
        <f>SUM(1-'Raw Values'!D14)</f>
        <v>0.55000000000000004</v>
      </c>
      <c r="H17" s="14">
        <f>'Raw Values'!$E14</f>
        <v>4</v>
      </c>
      <c r="I17" s="15">
        <f>SUM(60/'Raw Values'!F14)</f>
        <v>70.588235294117652</v>
      </c>
      <c r="J17" s="16">
        <f>'Raw Values'!G14</f>
        <v>1</v>
      </c>
      <c r="K17" s="11">
        <f>'Raw Values'!J14</f>
        <v>5</v>
      </c>
      <c r="L17" s="17">
        <v>32</v>
      </c>
      <c r="M17" s="11">
        <f>'Raw Values'!I14</f>
        <v>225</v>
      </c>
      <c r="N17" s="16">
        <f>SUM(1-'Raw Values'!Q14)</f>
        <v>0.6</v>
      </c>
      <c r="O17" s="18">
        <f>'Raw Values'!L14</f>
        <v>1400</v>
      </c>
      <c r="P17" s="32" t="s">
        <v>35</v>
      </c>
      <c r="Q17" s="17" t="s">
        <v>36</v>
      </c>
      <c r="R17" s="19">
        <f t="shared" ref="R17:S17" si="12">152.4 / T17</f>
        <v>3.2425531914893617</v>
      </c>
      <c r="S17" s="19">
        <f t="shared" si="12"/>
        <v>3.3679558011049724</v>
      </c>
      <c r="T17" s="15">
        <f>SUM('Raw Values'!S14+'Raw Values'!U14)</f>
        <v>47</v>
      </c>
      <c r="U17" s="15">
        <f>SUM('Raw Values'!S14+'Raw Values'!T14)</f>
        <v>45.25</v>
      </c>
      <c r="V17" s="15">
        <f>SUM('Raw Values'!S14+'Raw Values'!U14+'Raw Values'!W14)</f>
        <v>62.99</v>
      </c>
      <c r="W17" s="15">
        <f>SUM('Raw Values'!S14 + ('Raw Values'!AB14*2))</f>
        <v>308.52</v>
      </c>
      <c r="X17" s="20">
        <f>('Raw Values'!S14+'Raw Values'!U14+'Raw Values'!X14)</f>
        <v>97.09</v>
      </c>
      <c r="Y17" s="20">
        <f>('Raw Values'!X14+'Raw Values'!AA14*302)*(0.1^(0.333/('Raw Values'!AE14)))+T17</f>
        <v>58.925325277248419</v>
      </c>
      <c r="Z17" s="15">
        <f>'Raw Values'!V14</f>
        <v>11.19</v>
      </c>
      <c r="AA17" s="22">
        <f>'Raw Values'!AC14</f>
        <v>0.28552100000000002</v>
      </c>
      <c r="AB17" s="22">
        <f>'Raw Values'!AE14</f>
        <v>0.399729</v>
      </c>
      <c r="AC17" s="23">
        <f>'Raw Values'!AH14</f>
        <v>165</v>
      </c>
      <c r="AD17" s="11">
        <f>'Raw Values'!AG14</f>
        <v>20</v>
      </c>
      <c r="AE17" s="11">
        <f>'Raw Values'!AI14</f>
        <v>25</v>
      </c>
      <c r="AF17" s="32" t="s">
        <v>37</v>
      </c>
      <c r="AG17" s="24">
        <f>'Damage @Range'!Y14</f>
        <v>114.16393208076936</v>
      </c>
      <c r="AH17" s="24" t="str">
        <f>'Damage @Range(Armor)'!AA14</f>
        <v>N/A</v>
      </c>
    </row>
    <row r="18" spans="1:34" ht="15.75" customHeight="1" x14ac:dyDescent="0.15">
      <c r="A18" s="9" t="s">
        <v>56</v>
      </c>
      <c r="B18" s="10">
        <f>'Raw Values'!K15</f>
        <v>1050</v>
      </c>
      <c r="C18" s="10">
        <f>'Raw Values'!H15</f>
        <v>900</v>
      </c>
      <c r="D18" s="11">
        <f>'Raw Values'!C15</f>
        <v>26</v>
      </c>
      <c r="E18" s="11">
        <f>'Raw Values'!O15</f>
        <v>9</v>
      </c>
      <c r="F18" s="12">
        <f>SUM('Raw Values'!B15/2)</f>
        <v>0.5</v>
      </c>
      <c r="G18" s="52">
        <f>SUM(1-'Raw Values'!D15)</f>
        <v>0.30000000000000004</v>
      </c>
      <c r="H18" s="14">
        <f>'Raw Values'!$E15</f>
        <v>4</v>
      </c>
      <c r="I18" s="15">
        <f>SUM(60/'Raw Values'!F15)</f>
        <v>68.181818181818187</v>
      </c>
      <c r="J18" s="16">
        <f>'Raw Values'!G15</f>
        <v>1</v>
      </c>
      <c r="K18" s="11">
        <f>'Raw Values'!J15</f>
        <v>8</v>
      </c>
      <c r="L18" s="17">
        <v>32</v>
      </c>
      <c r="M18" s="11">
        <f>'Raw Values'!I15</f>
        <v>220</v>
      </c>
      <c r="N18" s="16">
        <f>SUM(1-'Raw Values'!Q15)</f>
        <v>0.6</v>
      </c>
      <c r="O18" s="18">
        <f>'Raw Values'!L15</f>
        <v>3000</v>
      </c>
      <c r="P18" s="32" t="s">
        <v>35</v>
      </c>
      <c r="Q18" s="17" t="s">
        <v>36</v>
      </c>
      <c r="R18" s="19">
        <f t="shared" ref="R18:S18" si="13">152.4 / T18</f>
        <v>3.2425531914893617</v>
      </c>
      <c r="S18" s="19">
        <f t="shared" si="13"/>
        <v>3.3679558011049724</v>
      </c>
      <c r="T18" s="15">
        <f>SUM('Raw Values'!S15+'Raw Values'!U15)</f>
        <v>47</v>
      </c>
      <c r="U18" s="15">
        <f>SUM('Raw Values'!S15+'Raw Values'!T15)</f>
        <v>45.25</v>
      </c>
      <c r="V18" s="15">
        <f>SUM('Raw Values'!S15+'Raw Values'!U15+'Raw Values'!W15)</f>
        <v>83.75</v>
      </c>
      <c r="W18" s="15">
        <f>SUM('Raw Values'!S15 + ('Raw Values'!AB15*2))</f>
        <v>197.5</v>
      </c>
      <c r="X18" s="20">
        <f>('Raw Values'!S15+'Raw Values'!U15+'Raw Values'!X15)</f>
        <v>173.30999800000001</v>
      </c>
      <c r="Y18" s="20">
        <f>('Raw Values'!X15+'Raw Values'!AA15*302)*(0.1^(0.333/('Raw Values'!AE15)))+T18</f>
        <v>84.380665693388124</v>
      </c>
      <c r="Z18" s="15">
        <f>'Raw Values'!V15</f>
        <v>9.7200000000000006</v>
      </c>
      <c r="AA18" s="22">
        <f>'Raw Values'!AC15</f>
        <v>0.32894099999999998</v>
      </c>
      <c r="AB18" s="22">
        <f>'Raw Values'!AE15</f>
        <v>0.46051700000000001</v>
      </c>
      <c r="AC18" s="23">
        <f>'Raw Values'!AH15</f>
        <v>143</v>
      </c>
      <c r="AD18" s="11">
        <f>'Raw Values'!AG15</f>
        <v>20</v>
      </c>
      <c r="AE18" s="11">
        <f>'Raw Values'!AI15</f>
        <v>22</v>
      </c>
      <c r="AF18" s="32" t="s">
        <v>37</v>
      </c>
      <c r="AG18" s="24">
        <f>'Damage @Range'!Y15</f>
        <v>54.981032197229943</v>
      </c>
      <c r="AH18" s="24" t="str">
        <f>'Damage @Range(Armor)'!AA15</f>
        <v>N/A</v>
      </c>
    </row>
    <row r="19" spans="1:34" ht="15.75" customHeight="1" x14ac:dyDescent="0.15">
      <c r="A19" s="36" t="s">
        <v>57</v>
      </c>
      <c r="B19" s="10">
        <f>'Raw Values'!K16</f>
        <v>1100</v>
      </c>
      <c r="C19" s="10">
        <f>'Raw Values'!H16</f>
        <v>900</v>
      </c>
      <c r="D19" s="11">
        <f>'Raw Values'!C16</f>
        <v>32</v>
      </c>
      <c r="E19" s="11">
        <f>'Raw Values'!O16</f>
        <v>8</v>
      </c>
      <c r="F19" s="12">
        <f>SUM('Raw Values'!B16/2)</f>
        <v>0.75</v>
      </c>
      <c r="G19" s="52">
        <f>SUM(1-'Raw Values'!D16)</f>
        <v>0.55000000000000004</v>
      </c>
      <c r="H19" s="37">
        <f>'Raw Values'!$E16</f>
        <v>4</v>
      </c>
      <c r="I19" s="15">
        <f>SUM(60/'Raw Values'!F16)</f>
        <v>70.588235294117652</v>
      </c>
      <c r="J19" s="16">
        <f>'Raw Values'!G16</f>
        <v>1</v>
      </c>
      <c r="K19" s="11">
        <f>'Raw Values'!J16</f>
        <v>7</v>
      </c>
      <c r="L19" s="17">
        <v>32</v>
      </c>
      <c r="M19" s="11">
        <f>'Raw Values'!I16</f>
        <v>210</v>
      </c>
      <c r="N19" s="16">
        <f>SUM(1-'Raw Values'!Q16)</f>
        <v>0.6</v>
      </c>
      <c r="O19" s="18">
        <f>'Raw Values'!L16</f>
        <v>1400</v>
      </c>
      <c r="P19" s="17" t="s">
        <v>35</v>
      </c>
      <c r="Q19" s="17" t="s">
        <v>36</v>
      </c>
      <c r="R19" s="19">
        <f t="shared" ref="R19:S19" si="14">152.4 / T19</f>
        <v>2.2086956521739132</v>
      </c>
      <c r="S19" s="19">
        <f t="shared" si="14"/>
        <v>2.266171003717472</v>
      </c>
      <c r="T19" s="15">
        <f>SUM('Raw Values'!S16+'Raw Values'!U16)</f>
        <v>69</v>
      </c>
      <c r="U19" s="15">
        <f>SUM('Raw Values'!S16+'Raw Values'!T16)</f>
        <v>67.25</v>
      </c>
      <c r="V19" s="15">
        <f>SUM('Raw Values'!S16+'Raw Values'!U16+'Raw Values'!W16)</f>
        <v>85.8</v>
      </c>
      <c r="W19" s="15">
        <f>SUM('Raw Values'!S16 + ('Raw Values'!AB16*2))</f>
        <v>134</v>
      </c>
      <c r="X19" s="20">
        <f>('Raw Values'!S16+'Raw Values'!U16+'Raw Values'!X16)</f>
        <v>126.700001</v>
      </c>
      <c r="Y19" s="20">
        <f>('Raw Values'!X16+'Raw Values'!AA16*302)*(0.1^(0.333/('Raw Values'!AE16)))+T19</f>
        <v>86.086942506496499</v>
      </c>
      <c r="Z19" s="15">
        <f>'Raw Values'!V16</f>
        <v>9.7200000000000006</v>
      </c>
      <c r="AA19" s="22">
        <f>'Raw Values'!AC16</f>
        <v>0.32894099999999998</v>
      </c>
      <c r="AB19" s="22">
        <f>'Raw Values'!AE16</f>
        <v>0.46051700000000001</v>
      </c>
      <c r="AC19" s="23">
        <f>'Raw Values'!AH16</f>
        <v>143</v>
      </c>
      <c r="AD19" s="11">
        <f>'Raw Values'!AG16</f>
        <v>20</v>
      </c>
      <c r="AE19" s="11">
        <f>'Raw Values'!AI16</f>
        <v>22</v>
      </c>
      <c r="AF19" s="17" t="s">
        <v>37</v>
      </c>
      <c r="AG19" s="24">
        <f>'Damage @Range'!Y16</f>
        <v>154.57589144150299</v>
      </c>
      <c r="AH19" s="24" t="str">
        <f>'Damage @Range(Armor)'!AA16</f>
        <v>N/A</v>
      </c>
    </row>
    <row r="20" spans="1:34" ht="15.75" customHeight="1" x14ac:dyDescent="0.15">
      <c r="A20" s="9" t="s">
        <v>58</v>
      </c>
      <c r="B20" s="10">
        <f>'Raw Values'!K17</f>
        <v>2000</v>
      </c>
      <c r="C20" s="10">
        <f>'Raw Values'!H17</f>
        <v>900</v>
      </c>
      <c r="D20" s="11">
        <f>'Raw Values'!C17</f>
        <v>20</v>
      </c>
      <c r="E20" s="11">
        <f>'Raw Values'!O17</f>
        <v>6</v>
      </c>
      <c r="F20" s="12">
        <f>SUM('Raw Values'!B17/2)</f>
        <v>0.8</v>
      </c>
      <c r="G20" s="52">
        <f>SUM(1-'Raw Values'!D17)</f>
        <v>0.30000000000000004</v>
      </c>
      <c r="H20" s="37">
        <f>'Raw Values'!$E17</f>
        <v>4</v>
      </c>
      <c r="I20" s="15">
        <f>SUM(60/'Raw Values'!F17)</f>
        <v>171.42857142857144</v>
      </c>
      <c r="J20" s="16">
        <f>'Raw Values'!G17</f>
        <v>1</v>
      </c>
      <c r="K20" s="11">
        <f>'Raw Values'!J17</f>
        <v>7</v>
      </c>
      <c r="L20" s="17">
        <v>32</v>
      </c>
      <c r="M20" s="11">
        <f>'Raw Values'!I17</f>
        <v>215</v>
      </c>
      <c r="N20" s="16">
        <f>SUM(1-'Raw Values'!Q17)</f>
        <v>0.6</v>
      </c>
      <c r="O20" s="18">
        <f>'Raw Values'!L17</f>
        <v>3000</v>
      </c>
      <c r="P20" s="17" t="s">
        <v>39</v>
      </c>
      <c r="Q20" s="17" t="s">
        <v>36</v>
      </c>
      <c r="R20" s="19">
        <f t="shared" ref="R20:S20" si="15">152.4 / T20</f>
        <v>3.3866666666666667</v>
      </c>
      <c r="S20" s="19">
        <f t="shared" si="15"/>
        <v>3.5236994219653179</v>
      </c>
      <c r="T20" s="15">
        <f>SUM('Raw Values'!S17+'Raw Values'!U17)</f>
        <v>45</v>
      </c>
      <c r="U20" s="15">
        <f>SUM('Raw Values'!S17+'Raw Values'!T17)</f>
        <v>43.25</v>
      </c>
      <c r="V20" s="15">
        <f>SUM('Raw Values'!S17+'Raw Values'!U17+'Raw Values'!W17)</f>
        <v>81.03</v>
      </c>
      <c r="W20" s="15">
        <f>SUM('Raw Values'!S17 + ('Raw Values'!AB17*2))</f>
        <v>192.42</v>
      </c>
      <c r="X20" s="20">
        <f>('Raw Values'!S17+'Raw Values'!U17+'Raw Values'!X17)</f>
        <v>175.83000200000001</v>
      </c>
      <c r="Y20" s="20">
        <f>('Raw Values'!X17+'Raw Values'!AA17*302)*(0.1^(0.333/('Raw Values'!AE17)))+T20</f>
        <v>89.218439589249783</v>
      </c>
      <c r="Z20" s="15">
        <f>'Raw Values'!V17</f>
        <v>8.83</v>
      </c>
      <c r="AA20" s="22">
        <f>'Raw Values'!AC17</f>
        <v>0.36183500000000002</v>
      </c>
      <c r="AB20" s="22">
        <f>'Raw Values'!AE17</f>
        <v>0.50656900000000005</v>
      </c>
      <c r="AC20" s="23">
        <f>'Raw Values'!AH17</f>
        <v>80</v>
      </c>
      <c r="AD20" s="11">
        <f>'Raw Values'!AG17</f>
        <v>20</v>
      </c>
      <c r="AE20" s="11">
        <f>'Raw Values'!AI17</f>
        <v>20</v>
      </c>
      <c r="AF20" s="17" t="s">
        <v>41</v>
      </c>
      <c r="AG20" s="24" t="str">
        <f>'Damage @Range'!Y17</f>
        <v>N/A</v>
      </c>
      <c r="AH20" s="24" t="str">
        <f>'Damage @Range(Armor)'!AA17</f>
        <v>N/A</v>
      </c>
    </row>
    <row r="21" spans="1:34" ht="15.75" customHeight="1" x14ac:dyDescent="0.15">
      <c r="A21" s="39"/>
      <c r="B21" s="39"/>
      <c r="C21" s="39"/>
      <c r="D21" s="39"/>
      <c r="E21" s="39"/>
      <c r="F21" s="39"/>
      <c r="G21" s="39"/>
      <c r="H21" s="40"/>
      <c r="I21" s="41"/>
      <c r="J21" s="39"/>
      <c r="K21" s="39"/>
      <c r="L21" s="39"/>
      <c r="M21" s="39"/>
      <c r="N21" s="39"/>
      <c r="O21" s="39"/>
      <c r="P21" s="39"/>
      <c r="Q21" s="39"/>
      <c r="R21" s="42"/>
      <c r="S21" s="42"/>
      <c r="T21" s="41"/>
      <c r="U21" s="41"/>
      <c r="V21" s="41"/>
      <c r="W21" s="43"/>
      <c r="X21" s="44"/>
      <c r="Y21" s="43"/>
      <c r="Z21" s="45"/>
      <c r="AA21" s="46"/>
      <c r="AB21" s="46"/>
      <c r="AC21" s="47"/>
      <c r="AD21" s="39"/>
      <c r="AE21" s="39"/>
      <c r="AF21" s="48"/>
      <c r="AG21" s="49"/>
      <c r="AH21" s="49"/>
    </row>
    <row r="22" spans="1:34" ht="15.75" customHeight="1" x14ac:dyDescent="0.15">
      <c r="A22" s="1" t="s">
        <v>59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50" t="s">
        <v>7</v>
      </c>
      <c r="I22" s="4" t="s">
        <v>54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5" t="s">
        <v>17</v>
      </c>
      <c r="S22" s="5" t="s">
        <v>18</v>
      </c>
      <c r="T22" s="4" t="s">
        <v>19</v>
      </c>
      <c r="U22" s="4" t="s">
        <v>20</v>
      </c>
      <c r="V22" s="4" t="s">
        <v>21</v>
      </c>
      <c r="W22" s="4" t="s">
        <v>22</v>
      </c>
      <c r="X22" s="51" t="s">
        <v>23</v>
      </c>
      <c r="Y22" s="4" t="s">
        <v>24</v>
      </c>
      <c r="Z22" s="4" t="s">
        <v>25</v>
      </c>
      <c r="AA22" s="7" t="s">
        <v>26</v>
      </c>
      <c r="AB22" s="7" t="s">
        <v>27</v>
      </c>
      <c r="AC22" s="8" t="s">
        <v>28</v>
      </c>
      <c r="AD22" s="2" t="s">
        <v>29</v>
      </c>
      <c r="AE22" s="2" t="s">
        <v>30</v>
      </c>
      <c r="AF22" s="2" t="s">
        <v>31</v>
      </c>
      <c r="AG22" s="2" t="s">
        <v>32</v>
      </c>
      <c r="AH22" s="2" t="s">
        <v>33</v>
      </c>
    </row>
    <row r="23" spans="1:34" ht="15.75" customHeight="1" x14ac:dyDescent="0.15">
      <c r="A23" s="9" t="s">
        <v>60</v>
      </c>
      <c r="B23" s="10">
        <f>'Raw Values'!K20</f>
        <v>1400</v>
      </c>
      <c r="C23" s="10">
        <f>'Raw Values'!H20</f>
        <v>600</v>
      </c>
      <c r="D23" s="11">
        <f>'Raw Values'!C20</f>
        <v>27</v>
      </c>
      <c r="E23" s="11">
        <f>'Raw Values'!O20</f>
        <v>1</v>
      </c>
      <c r="F23" s="12">
        <f>SUM('Raw Values'!B20/2)</f>
        <v>0.63</v>
      </c>
      <c r="G23" s="52">
        <f>SUM(1-'Raw Values'!D20)</f>
        <v>0.19999999999999996</v>
      </c>
      <c r="H23" s="14">
        <f>'Raw Values'!$E20</f>
        <v>4</v>
      </c>
      <c r="I23" s="15">
        <f>SUM(60/'Raw Values'!F20)</f>
        <v>750</v>
      </c>
      <c r="J23" s="16">
        <f>'Raw Values'!G20</f>
        <v>1</v>
      </c>
      <c r="K23" s="11">
        <f>'Raw Values'!J20</f>
        <v>64</v>
      </c>
      <c r="L23" s="17">
        <v>120</v>
      </c>
      <c r="M23" s="11">
        <f>'Raw Values'!I20</f>
        <v>240</v>
      </c>
      <c r="N23" s="16">
        <f>SUM(1-'Raw Values'!Q20)</f>
        <v>1</v>
      </c>
      <c r="O23" s="18">
        <f>'Raw Values'!L20</f>
        <v>3600</v>
      </c>
      <c r="P23" s="17" t="s">
        <v>39</v>
      </c>
      <c r="Q23" s="17" t="s">
        <v>61</v>
      </c>
      <c r="R23" s="19">
        <f t="shared" ref="R23:S23" si="16">152.4 / T23</f>
        <v>10.16</v>
      </c>
      <c r="S23" s="19">
        <f t="shared" si="16"/>
        <v>13.252173913043478</v>
      </c>
      <c r="T23" s="15">
        <f>SUM('Raw Values'!S20+'Raw Values'!U20)</f>
        <v>15</v>
      </c>
      <c r="U23" s="15">
        <f>SUM('Raw Values'!S20+'Raw Values'!T20)</f>
        <v>11.5</v>
      </c>
      <c r="V23" s="15">
        <f>SUM('Raw Values'!S20+'Raw Values'!U20+'Raw Values'!W20)</f>
        <v>42.57</v>
      </c>
      <c r="W23" s="15">
        <f>SUM('Raw Values'!S20 + ('Raw Values'!AB20*2))</f>
        <v>340.3</v>
      </c>
      <c r="X23" s="20">
        <f>('Raw Values'!S20+'Raw Values'!U20+'Raw Values'!X20)</f>
        <v>48.470001000000003</v>
      </c>
      <c r="Y23" s="20">
        <f>('Raw Values'!X20+'Raw Values'!AA20*302)*(0.1^(0.333/('Raw Values'!AE20)))+T23</f>
        <v>20.706132738910675</v>
      </c>
      <c r="Z23" s="15">
        <f>'Raw Values'!V20</f>
        <v>2.88</v>
      </c>
      <c r="AA23" s="22">
        <f>'Raw Values'!AC20</f>
        <v>0.23683699999999999</v>
      </c>
      <c r="AB23" s="22">
        <f>'Raw Values'!AE20</f>
        <v>0.33157199999999998</v>
      </c>
      <c r="AC23" s="23">
        <f>'Raw Values'!AH20</f>
        <v>18</v>
      </c>
      <c r="AD23" s="11">
        <f>'Raw Values'!AG20</f>
        <v>70</v>
      </c>
      <c r="AE23" s="11">
        <f>'Raw Values'!AI20</f>
        <v>1</v>
      </c>
      <c r="AF23" s="17" t="s">
        <v>41</v>
      </c>
      <c r="AG23" s="24">
        <f>'Damage @Range'!Y20</f>
        <v>172.44737901423611</v>
      </c>
      <c r="AH23" s="24" t="str">
        <f>'Damage @Range(Armor)'!AA20</f>
        <v>N/A</v>
      </c>
    </row>
    <row r="24" spans="1:34" ht="15.75" customHeight="1" x14ac:dyDescent="0.15">
      <c r="A24" s="36" t="s">
        <v>62</v>
      </c>
      <c r="B24" s="10">
        <f>'Raw Values'!K21</f>
        <v>1050</v>
      </c>
      <c r="C24" s="10">
        <f>'Raw Values'!H21</f>
        <v>600</v>
      </c>
      <c r="D24" s="11">
        <f>'Raw Values'!C21</f>
        <v>29</v>
      </c>
      <c r="E24" s="11">
        <f>'Raw Values'!O21</f>
        <v>1</v>
      </c>
      <c r="F24" s="12">
        <f>SUM('Raw Values'!B21/2)</f>
        <v>0.57499999999999996</v>
      </c>
      <c r="G24" s="52">
        <f>SUM(1-'Raw Values'!D21)</f>
        <v>0.19999999999999996</v>
      </c>
      <c r="H24" s="14">
        <f>'Raw Values'!$E21</f>
        <v>4</v>
      </c>
      <c r="I24" s="15">
        <f>SUM(60/'Raw Values'!F21)</f>
        <v>800</v>
      </c>
      <c r="J24" s="16">
        <f>'Raw Values'!G21</f>
        <v>1</v>
      </c>
      <c r="K24" s="11">
        <f>'Raw Values'!J21</f>
        <v>30</v>
      </c>
      <c r="L24" s="17">
        <v>100</v>
      </c>
      <c r="M24" s="11">
        <f>'Raw Values'!I21</f>
        <v>240</v>
      </c>
      <c r="N24" s="16">
        <f>SUM(1-'Raw Values'!Q21)</f>
        <v>1</v>
      </c>
      <c r="O24" s="18">
        <f>'Raw Values'!L21</f>
        <v>3600</v>
      </c>
      <c r="P24" s="17" t="s">
        <v>39</v>
      </c>
      <c r="Q24" s="17" t="s">
        <v>61</v>
      </c>
      <c r="R24" s="19">
        <f t="shared" ref="R24:S24" si="17">152.4 / T24</f>
        <v>10.964028776978417</v>
      </c>
      <c r="S24" s="19">
        <f t="shared" si="17"/>
        <v>14.404536862003781</v>
      </c>
      <c r="T24" s="15">
        <f>SUM('Raw Values'!S21+'Raw Values'!U21)</f>
        <v>13.9</v>
      </c>
      <c r="U24" s="15">
        <f>SUM('Raw Values'!S21+'Raw Values'!T21)</f>
        <v>10.58</v>
      </c>
      <c r="V24" s="15">
        <f>SUM('Raw Values'!S21+'Raw Values'!U21+'Raw Values'!W21)</f>
        <v>27.89</v>
      </c>
      <c r="W24" s="15">
        <f>SUM('Raw Values'!S21 + ('Raw Values'!AB21*2))</f>
        <v>69.11999999999999</v>
      </c>
      <c r="X24" s="20">
        <f>('Raw Values'!S21+'Raw Values'!U21+'Raw Values'!X21)</f>
        <v>47.199998999999998</v>
      </c>
      <c r="Y24" s="20">
        <f>('Raw Values'!X21+'Raw Values'!AA21*302)*(0.1^(0.333/('Raw Values'!AE21)))+T24</f>
        <v>21.851293757504678</v>
      </c>
      <c r="Z24" s="15">
        <f>'Raw Values'!V21</f>
        <v>4.76</v>
      </c>
      <c r="AA24" s="22">
        <f>'Raw Values'!AC21</f>
        <v>0.28552100000000002</v>
      </c>
      <c r="AB24" s="22">
        <f>'Raw Values'!AE21</f>
        <v>0.399729</v>
      </c>
      <c r="AC24" s="23">
        <f>'Raw Values'!AH21</f>
        <v>18</v>
      </c>
      <c r="AD24" s="11">
        <f>'Raw Values'!AG21</f>
        <v>70</v>
      </c>
      <c r="AE24" s="11">
        <f>'Raw Values'!AI21</f>
        <v>1</v>
      </c>
      <c r="AF24" s="17" t="s">
        <v>41</v>
      </c>
      <c r="AG24" s="24">
        <f>'Damage @Range'!Y21</f>
        <v>332.56619840490544</v>
      </c>
      <c r="AH24" s="24" t="str">
        <f>'Damage @Range(Armor)'!AA21</f>
        <v>N/A</v>
      </c>
    </row>
    <row r="25" spans="1:34" ht="15.75" customHeight="1" x14ac:dyDescent="0.15">
      <c r="A25" s="9" t="s">
        <v>63</v>
      </c>
      <c r="B25" s="10">
        <f>'Raw Values'!K22</f>
        <v>1500</v>
      </c>
      <c r="C25" s="10">
        <f>'Raw Values'!H22</f>
        <v>600</v>
      </c>
      <c r="D25" s="11">
        <f>'Raw Values'!C22</f>
        <v>29</v>
      </c>
      <c r="E25" s="11">
        <f>'Raw Values'!O22</f>
        <v>1</v>
      </c>
      <c r="F25" s="12">
        <f>SUM('Raw Values'!B22/2)</f>
        <v>0.625</v>
      </c>
      <c r="G25" s="52">
        <f>SUM(1-'Raw Values'!D22)</f>
        <v>0.15000000000000002</v>
      </c>
      <c r="H25" s="14">
        <f>'Raw Values'!$E22</f>
        <v>4</v>
      </c>
      <c r="I25" s="15">
        <f>SUM(60/'Raw Values'!F22)</f>
        <v>750</v>
      </c>
      <c r="J25" s="16">
        <f>'Raw Values'!G22</f>
        <v>1</v>
      </c>
      <c r="K25" s="11">
        <f>'Raw Values'!J22</f>
        <v>30</v>
      </c>
      <c r="L25" s="17">
        <v>120</v>
      </c>
      <c r="M25" s="11">
        <f>'Raw Values'!I22</f>
        <v>220</v>
      </c>
      <c r="N25" s="16">
        <f>SUM(1-'Raw Values'!Q22)</f>
        <v>1</v>
      </c>
      <c r="O25" s="18">
        <f>'Raw Values'!L22</f>
        <v>3600</v>
      </c>
      <c r="P25" s="17" t="s">
        <v>39</v>
      </c>
      <c r="Q25" s="17" t="s">
        <v>61</v>
      </c>
      <c r="R25" s="19">
        <f t="shared" ref="R25:S25" si="18">152.4 / T25</f>
        <v>14.377358490566039</v>
      </c>
      <c r="S25" s="19">
        <f t="shared" si="18"/>
        <v>23.374233128834359</v>
      </c>
      <c r="T25" s="15">
        <f>SUM('Raw Values'!S22+'Raw Values'!U22)</f>
        <v>10.6</v>
      </c>
      <c r="U25" s="15">
        <f>SUM('Raw Values'!S22+'Raw Values'!T22)</f>
        <v>6.52</v>
      </c>
      <c r="V25" s="15">
        <f>SUM('Raw Values'!S22+'Raw Values'!U22+'Raw Values'!W22)</f>
        <v>30.46</v>
      </c>
      <c r="W25" s="15">
        <f>SUM('Raw Values'!S22 + ('Raw Values'!AB22*2))</f>
        <v>115.72</v>
      </c>
      <c r="X25" s="20">
        <f>('Raw Values'!S22+'Raw Values'!U22+'Raw Values'!X22)</f>
        <v>70.199997999999994</v>
      </c>
      <c r="Y25" s="20">
        <f>('Raw Values'!X22+'Raw Values'!AA22*302)*(0.1^(0.333/('Raw Values'!AE22)))+T25</f>
        <v>26.949004372068607</v>
      </c>
      <c r="Z25" s="15">
        <f>'Raw Values'!V22</f>
        <v>2.1800000000000002</v>
      </c>
      <c r="AA25" s="22">
        <f>'Raw Values'!AC22</f>
        <v>0.31249399999999999</v>
      </c>
      <c r="AB25" s="22">
        <f>'Raw Values'!AE22</f>
        <v>0.43749100000000002</v>
      </c>
      <c r="AC25" s="23">
        <f>'Raw Values'!AH22</f>
        <v>16</v>
      </c>
      <c r="AD25" s="11">
        <f>'Raw Values'!AG22</f>
        <v>70</v>
      </c>
      <c r="AE25" s="11">
        <f>'Raw Values'!AI22</f>
        <v>1</v>
      </c>
      <c r="AF25" s="17" t="s">
        <v>41</v>
      </c>
      <c r="AG25" s="24">
        <f>'Damage @Range'!Y22</f>
        <v>456.62374708266015</v>
      </c>
      <c r="AH25" s="24" t="str">
        <f>'Damage @Range(Armor)'!AA22</f>
        <v>N/A</v>
      </c>
    </row>
    <row r="26" spans="1:34" ht="15.75" customHeight="1" x14ac:dyDescent="0.15">
      <c r="A26" s="53" t="s">
        <v>64</v>
      </c>
      <c r="B26" s="10">
        <f>'Raw Values'!K23</f>
        <v>1500</v>
      </c>
      <c r="C26" s="10">
        <f>'Raw Values'!H23</f>
        <v>600</v>
      </c>
      <c r="D26" s="11">
        <f>'Raw Values'!C23</f>
        <v>27</v>
      </c>
      <c r="E26" s="11">
        <f>'Raw Values'!O23</f>
        <v>1</v>
      </c>
      <c r="F26" s="12">
        <f>SUM('Raw Values'!B23/2)</f>
        <v>0.625</v>
      </c>
      <c r="G26" s="52">
        <f>SUM(1-'Raw Values'!D23)</f>
        <v>0.15000000000000002</v>
      </c>
      <c r="H26" s="14">
        <f>'Raw Values'!$E23</f>
        <v>4</v>
      </c>
      <c r="I26" s="15">
        <f>SUM(60/'Raw Values'!F23)</f>
        <v>750</v>
      </c>
      <c r="J26" s="16">
        <f>'Raw Values'!G23</f>
        <v>1</v>
      </c>
      <c r="K26" s="11">
        <f>'Raw Values'!J23</f>
        <v>30</v>
      </c>
      <c r="L26" s="17">
        <v>120</v>
      </c>
      <c r="M26" s="11">
        <f>'Raw Values'!I23</f>
        <v>235</v>
      </c>
      <c r="N26" s="16">
        <f>SUM(1-'Raw Values'!Q23)</f>
        <v>1</v>
      </c>
      <c r="O26" s="18">
        <f>'Raw Values'!L23</f>
        <v>3600</v>
      </c>
      <c r="P26" s="17" t="s">
        <v>39</v>
      </c>
      <c r="Q26" s="32" t="s">
        <v>45</v>
      </c>
      <c r="R26" s="19">
        <f t="shared" ref="R26:S26" si="19">152.4 / T26</f>
        <v>14.377358490566039</v>
      </c>
      <c r="S26" s="19">
        <f t="shared" si="19"/>
        <v>23.374233128834359</v>
      </c>
      <c r="T26" s="15">
        <f>SUM('Raw Values'!S23+'Raw Values'!U23)</f>
        <v>10.6</v>
      </c>
      <c r="U26" s="15">
        <f>SUM('Raw Values'!S23+'Raw Values'!T23)</f>
        <v>6.52</v>
      </c>
      <c r="V26" s="15">
        <f>SUM('Raw Values'!S23+'Raw Values'!U23+'Raw Values'!W23)</f>
        <v>40.6</v>
      </c>
      <c r="W26" s="15">
        <f>SUM('Raw Values'!S23 + ('Raw Values'!AB23*2))</f>
        <v>115.72</v>
      </c>
      <c r="X26" s="20">
        <f>('Raw Values'!S23+'Raw Values'!U23+'Raw Values'!X23)</f>
        <v>70.199997999999994</v>
      </c>
      <c r="Y26" s="20">
        <f>('Raw Values'!X23+'Raw Values'!AA23*302)*(0.1^(0.333/('Raw Values'!AE23)))+T26</f>
        <v>26.949004372068607</v>
      </c>
      <c r="Z26" s="15">
        <f>'Raw Values'!V23</f>
        <v>2.1800000000000002</v>
      </c>
      <c r="AA26" s="22">
        <f>'Raw Values'!AC23</f>
        <v>0.31249399999999999</v>
      </c>
      <c r="AB26" s="22">
        <f>'Raw Values'!AE23</f>
        <v>0.43749100000000002</v>
      </c>
      <c r="AC26" s="23">
        <f>'Raw Values'!AH23</f>
        <v>16</v>
      </c>
      <c r="AD26" s="11">
        <f>'Raw Values'!AG23</f>
        <v>70</v>
      </c>
      <c r="AE26" s="11">
        <f>'Raw Values'!AI23</f>
        <v>1</v>
      </c>
      <c r="AF26" s="17" t="s">
        <v>41</v>
      </c>
      <c r="AG26" s="24">
        <f>'Damage @Range'!Y23</f>
        <v>236.77562168898606</v>
      </c>
      <c r="AH26" s="24" t="str">
        <f>'Damage @Range(Armor)'!AA23</f>
        <v>N/A</v>
      </c>
    </row>
    <row r="27" spans="1:34" ht="15.75" customHeight="1" x14ac:dyDescent="0.15">
      <c r="A27" s="35" t="s">
        <v>65</v>
      </c>
      <c r="B27" s="10">
        <f>'Raw Values'!K24</f>
        <v>1250</v>
      </c>
      <c r="C27" s="10">
        <f>'Raw Values'!H24</f>
        <v>600</v>
      </c>
      <c r="D27" s="11">
        <f>'Raw Values'!C24</f>
        <v>26</v>
      </c>
      <c r="E27" s="11">
        <f>'Raw Values'!O24</f>
        <v>1</v>
      </c>
      <c r="F27" s="12">
        <f>SUM('Raw Values'!B24/2)</f>
        <v>0.6</v>
      </c>
      <c r="G27" s="52">
        <f>SUM(1-'Raw Values'!D24)</f>
        <v>0.13</v>
      </c>
      <c r="H27" s="14">
        <f>'Raw Values'!$E24</f>
        <v>4</v>
      </c>
      <c r="I27" s="15">
        <f>SUM(60/'Raw Values'!F24)</f>
        <v>857.14285714285711</v>
      </c>
      <c r="J27" s="16">
        <f>'Raw Values'!G24</f>
        <v>1</v>
      </c>
      <c r="K27" s="11">
        <f>'Raw Values'!J24</f>
        <v>30</v>
      </c>
      <c r="L27" s="17">
        <v>120</v>
      </c>
      <c r="M27" s="11">
        <f>'Raw Values'!I24</f>
        <v>240</v>
      </c>
      <c r="N27" s="16">
        <f>SUM(1-'Raw Values'!Q24)</f>
        <v>1</v>
      </c>
      <c r="O27" s="18">
        <f>'Raw Values'!L24</f>
        <v>3600</v>
      </c>
      <c r="P27" s="17" t="s">
        <v>39</v>
      </c>
      <c r="Q27" s="17" t="s">
        <v>61</v>
      </c>
      <c r="R27" s="19">
        <f t="shared" ref="R27:S27" si="20">152.4 / T27</f>
        <v>15.875000000000002</v>
      </c>
      <c r="S27" s="19">
        <f t="shared" si="20"/>
        <v>24.983606557377051</v>
      </c>
      <c r="T27" s="15">
        <f>SUM('Raw Values'!S24+'Raw Values'!U24)</f>
        <v>9.6</v>
      </c>
      <c r="U27" s="15">
        <f>SUM('Raw Values'!S24+'Raw Values'!T24)</f>
        <v>6.1</v>
      </c>
      <c r="V27" s="15">
        <f>SUM('Raw Values'!S24+'Raw Values'!U24+'Raw Values'!W24)</f>
        <v>38.64</v>
      </c>
      <c r="W27" s="15">
        <f>SUM('Raw Values'!S24 + ('Raw Values'!AB24*2))</f>
        <v>298.42500000000001</v>
      </c>
      <c r="X27" s="20">
        <f>('Raw Values'!S24+'Raw Values'!U24+'Raw Values'!X24)</f>
        <v>28.03</v>
      </c>
      <c r="Y27" s="20">
        <f>('Raw Values'!X24+'Raw Values'!AA24*302)*(0.1^(0.333/('Raw Values'!AE24)))+T27</f>
        <v>11.407352715470971</v>
      </c>
      <c r="Z27" s="15">
        <f>'Raw Values'!V24</f>
        <v>3.7</v>
      </c>
      <c r="AA27" s="22">
        <f>'Raw Values'!AC24</f>
        <v>0.18420700000000001</v>
      </c>
      <c r="AB27" s="22">
        <f>'Raw Values'!AE24</f>
        <v>0.25789000000000001</v>
      </c>
      <c r="AC27" s="23">
        <f>'Raw Values'!AH24</f>
        <v>19</v>
      </c>
      <c r="AD27" s="11">
        <f>'Raw Values'!AG24</f>
        <v>70</v>
      </c>
      <c r="AE27" s="11">
        <f>'Raw Values'!AI24</f>
        <v>1</v>
      </c>
      <c r="AF27" s="17" t="s">
        <v>41</v>
      </c>
      <c r="AG27" s="24">
        <f>'Damage @Range'!Y24</f>
        <v>140.81621041627471</v>
      </c>
      <c r="AH27" s="24" t="str">
        <f>'Damage @Range(Armor)'!AA24</f>
        <v>N/A</v>
      </c>
    </row>
    <row r="28" spans="1:34" ht="15.75" customHeight="1" x14ac:dyDescent="0.15">
      <c r="A28" s="9" t="s">
        <v>66</v>
      </c>
      <c r="B28" s="10">
        <f>'Raw Values'!K25</f>
        <v>2350</v>
      </c>
      <c r="C28" s="10">
        <f>'Raw Values'!H25</f>
        <v>300</v>
      </c>
      <c r="D28" s="11">
        <f>'Raw Values'!C25</f>
        <v>26</v>
      </c>
      <c r="E28" s="11">
        <f>'Raw Values'!O25</f>
        <v>1</v>
      </c>
      <c r="F28" s="12">
        <f>SUM('Raw Values'!B25/2)</f>
        <v>0.69</v>
      </c>
      <c r="G28" s="52">
        <f>SUM(1-'Raw Values'!D25)</f>
        <v>0.14000000000000001</v>
      </c>
      <c r="H28" s="14">
        <f>'Raw Values'!$E25</f>
        <v>4</v>
      </c>
      <c r="I28" s="15">
        <f>SUM(60/'Raw Values'!F25)</f>
        <v>857.14285714285711</v>
      </c>
      <c r="J28" s="16">
        <f>'Raw Values'!G25</f>
        <v>1</v>
      </c>
      <c r="K28" s="11">
        <f>'Raw Values'!J25</f>
        <v>50</v>
      </c>
      <c r="L28" s="17">
        <v>100</v>
      </c>
      <c r="M28" s="11">
        <f>'Raw Values'!I25</f>
        <v>230</v>
      </c>
      <c r="N28" s="16">
        <f>SUM(1-'Raw Values'!Q25)</f>
        <v>1</v>
      </c>
      <c r="O28" s="18">
        <f>'Raw Values'!L25</f>
        <v>3700</v>
      </c>
      <c r="P28" s="17" t="s">
        <v>39</v>
      </c>
      <c r="Q28" s="17" t="s">
        <v>61</v>
      </c>
      <c r="R28" s="19">
        <f t="shared" ref="R28:S28" si="21">152.4 / T28</f>
        <v>10.402730375426621</v>
      </c>
      <c r="S28" s="19">
        <f t="shared" si="21"/>
        <v>13.558718861209965</v>
      </c>
      <c r="T28" s="15">
        <f>SUM('Raw Values'!S25+'Raw Values'!U25)</f>
        <v>14.65</v>
      </c>
      <c r="U28" s="15">
        <f>SUM('Raw Values'!S25+'Raw Values'!T25)</f>
        <v>11.24</v>
      </c>
      <c r="V28" s="15">
        <f>SUM('Raw Values'!S25+'Raw Values'!U25+'Raw Values'!W25)</f>
        <v>45.65</v>
      </c>
      <c r="W28" s="15">
        <f>SUM('Raw Values'!S25 + ('Raw Values'!AB25*2))</f>
        <v>265.33999999999997</v>
      </c>
      <c r="X28" s="20">
        <f>('Raw Values'!S25+'Raw Values'!U25+'Raw Values'!X25)</f>
        <v>104.730002</v>
      </c>
      <c r="Y28" s="20">
        <f>('Raw Values'!X25+'Raw Values'!AA25*302)*(0.1^(0.333/('Raw Values'!AE25)))+T28</f>
        <v>29.277927112825516</v>
      </c>
      <c r="Z28" s="15">
        <f>'Raw Values'!V25</f>
        <v>2.85</v>
      </c>
      <c r="AA28" s="22">
        <f>'Raw Values'!AC25</f>
        <v>0.26578400000000002</v>
      </c>
      <c r="AB28" s="22">
        <f>'Raw Values'!AE25</f>
        <v>0.37209799999999998</v>
      </c>
      <c r="AC28" s="23">
        <f>'Raw Values'!AH25</f>
        <v>16</v>
      </c>
      <c r="AD28" s="11">
        <f>'Raw Values'!AG25</f>
        <v>70</v>
      </c>
      <c r="AE28" s="11">
        <f>'Raw Values'!AI25</f>
        <v>1</v>
      </c>
      <c r="AF28" s="17" t="s">
        <v>41</v>
      </c>
      <c r="AG28" s="24">
        <f>'Damage @Range'!Y25</f>
        <v>130.02241643261647</v>
      </c>
      <c r="AH28" s="24" t="str">
        <f>'Damage @Range(Armor)'!AA25</f>
        <v>N/A</v>
      </c>
    </row>
    <row r="29" spans="1:34" ht="15.75" customHeight="1" x14ac:dyDescent="0.15">
      <c r="A29" s="9" t="s">
        <v>67</v>
      </c>
      <c r="B29" s="10">
        <f>'Raw Values'!K26</f>
        <v>1200</v>
      </c>
      <c r="C29" s="10">
        <f>'Raw Values'!H26</f>
        <v>600</v>
      </c>
      <c r="D29" s="11">
        <f>'Raw Values'!C26</f>
        <v>35</v>
      </c>
      <c r="E29" s="11">
        <f>'Raw Values'!O26</f>
        <v>1</v>
      </c>
      <c r="F29" s="12">
        <f>SUM('Raw Values'!B26/2)</f>
        <v>0.65</v>
      </c>
      <c r="G29" s="52">
        <f>SUM(1-'Raw Values'!D26)</f>
        <v>0.25</v>
      </c>
      <c r="H29" s="14">
        <f>'Raw Values'!$E26</f>
        <v>4</v>
      </c>
      <c r="I29" s="15">
        <f>SUM(60/'Raw Values'!F26)</f>
        <v>666.66666666666674</v>
      </c>
      <c r="J29" s="16">
        <f>'Raw Values'!G26</f>
        <v>1</v>
      </c>
      <c r="K29" s="11">
        <f>'Raw Values'!J26</f>
        <v>25</v>
      </c>
      <c r="L29" s="17">
        <v>100</v>
      </c>
      <c r="M29" s="11">
        <f>'Raw Values'!I26</f>
        <v>230</v>
      </c>
      <c r="N29" s="16">
        <f>SUM(1-'Raw Values'!Q26)</f>
        <v>1</v>
      </c>
      <c r="O29" s="18">
        <f>'Raw Values'!L26</f>
        <v>3700</v>
      </c>
      <c r="P29" s="17" t="s">
        <v>39</v>
      </c>
      <c r="Q29" s="17" t="s">
        <v>61</v>
      </c>
      <c r="R29" s="19">
        <f t="shared" ref="R29:S29" si="22">152.4 / T29</f>
        <v>10.561330561330562</v>
      </c>
      <c r="S29" s="19">
        <f t="shared" si="22"/>
        <v>13.766937669376693</v>
      </c>
      <c r="T29" s="15">
        <f>SUM('Raw Values'!S26+'Raw Values'!U26)</f>
        <v>14.43</v>
      </c>
      <c r="U29" s="15">
        <f>SUM('Raw Values'!S26+'Raw Values'!T26)</f>
        <v>11.07</v>
      </c>
      <c r="V29" s="15">
        <f>SUM('Raw Values'!S26+'Raw Values'!U26+'Raw Values'!W26)</f>
        <v>43.19</v>
      </c>
      <c r="W29" s="15">
        <f>SUM('Raw Values'!S26 + ('Raw Values'!AB26*2))</f>
        <v>85.7</v>
      </c>
      <c r="X29" s="20">
        <f>('Raw Values'!S26+'Raw Values'!U26+'Raw Values'!X26)</f>
        <v>51.68</v>
      </c>
      <c r="Y29" s="20">
        <f>('Raw Values'!X26+'Raw Values'!AA26*302)*(0.1^(0.333/('Raw Values'!AE26)))+T29</f>
        <v>21.466247600587799</v>
      </c>
      <c r="Z29" s="15">
        <f>'Raw Values'!V26</f>
        <v>3.42</v>
      </c>
      <c r="AA29" s="22">
        <f>'Raw Values'!AC26</f>
        <v>0.24999499999999999</v>
      </c>
      <c r="AB29" s="22">
        <f>'Raw Values'!AE26</f>
        <v>0.349993</v>
      </c>
      <c r="AC29" s="23">
        <f>'Raw Values'!AH26</f>
        <v>23</v>
      </c>
      <c r="AD29" s="11">
        <f>'Raw Values'!AG26</f>
        <v>40</v>
      </c>
      <c r="AE29" s="11">
        <f>'Raw Values'!AI26</f>
        <v>1</v>
      </c>
      <c r="AF29" s="17" t="s">
        <v>41</v>
      </c>
      <c r="AG29" s="24">
        <f>'Damage @Range'!Y26</f>
        <v>584.79875675535845</v>
      </c>
      <c r="AH29" s="24" t="str">
        <f>'Damage @Range(Armor)'!AA26</f>
        <v>N/A</v>
      </c>
    </row>
    <row r="30" spans="1:34" ht="15.75" customHeight="1" x14ac:dyDescent="0.15">
      <c r="A30" s="39"/>
      <c r="B30" s="39"/>
      <c r="C30" s="39"/>
      <c r="D30" s="39"/>
      <c r="E30" s="39"/>
      <c r="F30" s="39"/>
      <c r="G30" s="39"/>
      <c r="H30" s="40"/>
      <c r="I30" s="41"/>
      <c r="J30" s="39"/>
      <c r="K30" s="39"/>
      <c r="L30" s="39"/>
      <c r="M30" s="39"/>
      <c r="N30" s="39"/>
      <c r="O30" s="39"/>
      <c r="P30" s="39"/>
      <c r="Q30" s="39"/>
      <c r="R30" s="42"/>
      <c r="S30" s="42"/>
      <c r="T30" s="41"/>
      <c r="U30" s="41"/>
      <c r="V30" s="41"/>
      <c r="W30" s="43"/>
      <c r="X30" s="44"/>
      <c r="Y30" s="43"/>
      <c r="Z30" s="45"/>
      <c r="AA30" s="46"/>
      <c r="AB30" s="46"/>
      <c r="AC30" s="47"/>
      <c r="AD30" s="39"/>
      <c r="AE30" s="39"/>
      <c r="AF30" s="48"/>
      <c r="AG30" s="49"/>
      <c r="AH30" s="49"/>
    </row>
    <row r="31" spans="1:34" ht="15.75" customHeight="1" x14ac:dyDescent="0.15">
      <c r="A31" s="1" t="s">
        <v>68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50" t="s">
        <v>7</v>
      </c>
      <c r="I31" s="4" t="s">
        <v>54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5" t="s">
        <v>17</v>
      </c>
      <c r="S31" s="5" t="s">
        <v>18</v>
      </c>
      <c r="T31" s="4" t="s">
        <v>19</v>
      </c>
      <c r="U31" s="4" t="s">
        <v>20</v>
      </c>
      <c r="V31" s="4" t="s">
        <v>21</v>
      </c>
      <c r="W31" s="4" t="s">
        <v>69</v>
      </c>
      <c r="X31" s="51" t="s">
        <v>23</v>
      </c>
      <c r="Y31" s="4" t="s">
        <v>24</v>
      </c>
      <c r="Z31" s="4" t="s">
        <v>25</v>
      </c>
      <c r="AA31" s="7" t="s">
        <v>26</v>
      </c>
      <c r="AB31" s="7" t="s">
        <v>27</v>
      </c>
      <c r="AC31" s="8" t="s">
        <v>28</v>
      </c>
      <c r="AD31" s="2" t="s">
        <v>29</v>
      </c>
      <c r="AE31" s="2" t="s">
        <v>30</v>
      </c>
      <c r="AF31" s="2" t="s">
        <v>31</v>
      </c>
      <c r="AG31" s="2" t="s">
        <v>32</v>
      </c>
      <c r="AH31" s="2" t="s">
        <v>33</v>
      </c>
    </row>
    <row r="32" spans="1:34" ht="15.75" customHeight="1" x14ac:dyDescent="0.15">
      <c r="A32" s="36" t="s">
        <v>308</v>
      </c>
      <c r="B32" s="10">
        <f>'Raw Values'!K29</f>
        <v>2700</v>
      </c>
      <c r="C32" s="10">
        <f>'Raw Values'!H29</f>
        <v>300</v>
      </c>
      <c r="D32" s="11">
        <f>'Raw Values'!C29</f>
        <v>36</v>
      </c>
      <c r="E32" s="11">
        <f>'Raw Values'!O29</f>
        <v>1</v>
      </c>
      <c r="F32" s="12">
        <f>SUM('Raw Values'!B29/2)</f>
        <v>0.77500000000000002</v>
      </c>
      <c r="G32" s="52">
        <f>SUM(1-'Raw Values'!D29)</f>
        <v>2.0000000000000018E-2</v>
      </c>
      <c r="H32" s="14">
        <f>'Raw Values'!$E29</f>
        <v>4</v>
      </c>
      <c r="I32" s="15">
        <f>SUM(60/'Raw Values'!F29)</f>
        <v>600</v>
      </c>
      <c r="J32" s="16">
        <f>'Raw Values'!G29</f>
        <v>2</v>
      </c>
      <c r="K32" s="11">
        <f>'Raw Values'!J29</f>
        <v>30</v>
      </c>
      <c r="L32" s="17">
        <v>90</v>
      </c>
      <c r="M32" s="11">
        <f>'Raw Values'!I29</f>
        <v>215</v>
      </c>
      <c r="N32" s="16">
        <f>SUM(1-'Raw Values'!Q29)</f>
        <v>0.6</v>
      </c>
      <c r="O32" s="18">
        <f>'Raw Values'!L29</f>
        <v>8192</v>
      </c>
      <c r="P32" s="17" t="s">
        <v>39</v>
      </c>
      <c r="Q32" s="17" t="s">
        <v>61</v>
      </c>
      <c r="R32" s="19">
        <f t="shared" ref="R32:S32" si="23">152.4 / T32</f>
        <v>21.740370898716122</v>
      </c>
      <c r="S32" s="19">
        <f t="shared" si="23"/>
        <v>28.170055452865071</v>
      </c>
      <c r="T32" s="15">
        <f>SUM('Raw Values'!S29+'Raw Values'!U29)</f>
        <v>7.01</v>
      </c>
      <c r="U32" s="15">
        <f>SUM('Raw Values'!S29+'Raw Values'!T29)</f>
        <v>5.4099999999999993</v>
      </c>
      <c r="V32" s="15">
        <f>SUM('Raw Values'!S29+'Raw Values'!U29+'Raw Values'!W29)</f>
        <v>182.07</v>
      </c>
      <c r="W32" s="15">
        <f>SUM('Raw Values'!S29 + ('Raw Values'!AB29*2))</f>
        <v>280.60000000000002</v>
      </c>
      <c r="X32" s="20">
        <f>('Raw Values'!S29+'Raw Values'!U29+'Raw Values'!X29)</f>
        <v>147.76999499999999</v>
      </c>
      <c r="Y32" s="20">
        <f>('Raw Values'!X29+'Raw Values'!AA29*302)*(0.1^(0.333/('Raw Values'!AE29)))+T32</f>
        <v>33.629859252718653</v>
      </c>
      <c r="Z32" s="15">
        <f>'Raw Values'!V29</f>
        <v>7.8</v>
      </c>
      <c r="AA32" s="22">
        <f>'Raw Values'!AC29</f>
        <v>0.305257</v>
      </c>
      <c r="AB32" s="22">
        <f>'Raw Values'!AE29</f>
        <v>0.36799999999999999</v>
      </c>
      <c r="AC32" s="23">
        <f>'Raw Values'!AH29</f>
        <v>30</v>
      </c>
      <c r="AD32" s="11">
        <f>'Raw Values'!AG29</f>
        <v>70</v>
      </c>
      <c r="AE32" s="11">
        <f>'Raw Values'!AI29</f>
        <v>0</v>
      </c>
      <c r="AF32" s="17" t="s">
        <v>41</v>
      </c>
      <c r="AG32" s="24">
        <f>'Damage @Range'!Y29</f>
        <v>9024.6101143012784</v>
      </c>
      <c r="AH32" s="24">
        <f>'Damage @Range(Armor)'!AA29</f>
        <v>2716.2414975923821</v>
      </c>
    </row>
    <row r="33" spans="1:34" ht="15.75" customHeight="1" x14ac:dyDescent="0.15">
      <c r="A33" s="35" t="s">
        <v>71</v>
      </c>
      <c r="B33" s="10">
        <f>'Raw Values'!K30</f>
        <v>3300</v>
      </c>
      <c r="C33" s="10">
        <f>'Raw Values'!H30</f>
        <v>300</v>
      </c>
      <c r="D33" s="11">
        <f>'Raw Values'!C30</f>
        <v>28</v>
      </c>
      <c r="E33" s="11">
        <f>'Raw Values'!O30</f>
        <v>1</v>
      </c>
      <c r="F33" s="12">
        <f>SUM('Raw Values'!B30/2)</f>
        <v>0.9</v>
      </c>
      <c r="G33" s="52">
        <f>SUM(1-'Raw Values'!D30)</f>
        <v>2.0000000000000018E-2</v>
      </c>
      <c r="H33" s="14">
        <f>'Raw Values'!$E30</f>
        <v>4</v>
      </c>
      <c r="I33" s="15">
        <f>SUM(60/'Raw Values'!F30)</f>
        <v>600</v>
      </c>
      <c r="J33" s="16">
        <f>'Raw Values'!G30</f>
        <v>2</v>
      </c>
      <c r="K33" s="11">
        <f>'Raw Values'!J30</f>
        <v>30</v>
      </c>
      <c r="L33" s="17">
        <v>90</v>
      </c>
      <c r="M33" s="11">
        <f>'Raw Values'!I30</f>
        <v>220</v>
      </c>
      <c r="N33" s="16">
        <f>SUM(1-'Raw Values'!Q30)</f>
        <v>0.6</v>
      </c>
      <c r="O33" s="18">
        <f>'Raw Values'!L30</f>
        <v>8192</v>
      </c>
      <c r="P33" s="17" t="s">
        <v>39</v>
      </c>
      <c r="Q33" s="17" t="s">
        <v>61</v>
      </c>
      <c r="R33" s="19">
        <f t="shared" ref="R33:S33" si="24">152.4 / T33</f>
        <v>28.222222222222221</v>
      </c>
      <c r="S33" s="19">
        <f t="shared" si="24"/>
        <v>36.459330143540676</v>
      </c>
      <c r="T33" s="15">
        <f>SUM('Raw Values'!S30+'Raw Values'!U30)</f>
        <v>5.4</v>
      </c>
      <c r="U33" s="15">
        <f>SUM('Raw Values'!S30+'Raw Values'!T30)</f>
        <v>4.18</v>
      </c>
      <c r="V33" s="15">
        <f>SUM('Raw Values'!S30+'Raw Values'!U30+'Raw Values'!W30)</f>
        <v>140.85</v>
      </c>
      <c r="W33" s="15">
        <f>SUM('Raw Values'!S30 + ('Raw Values'!AB30*2))</f>
        <v>220.58</v>
      </c>
      <c r="X33" s="20">
        <f>('Raw Values'!S30+'Raw Values'!U30+'Raw Values'!X30)</f>
        <v>111.38999800000001</v>
      </c>
      <c r="Y33" s="20">
        <f>('Raw Values'!X30+'Raw Values'!AA30*302)*(0.1^(0.333/('Raw Values'!AE30)))+T33</f>
        <v>33.745054157450454</v>
      </c>
      <c r="Z33" s="15">
        <f>'Raw Values'!V30</f>
        <v>7.29</v>
      </c>
      <c r="AA33" s="22">
        <f>'Raw Values'!AC30</f>
        <v>0.30552000000000001</v>
      </c>
      <c r="AB33" s="22">
        <f>'Raw Values'!AE30</f>
        <v>0.42972700000000003</v>
      </c>
      <c r="AC33" s="23">
        <f>'Raw Values'!AH30</f>
        <v>24</v>
      </c>
      <c r="AD33" s="11">
        <f>'Raw Values'!AG30</f>
        <v>60</v>
      </c>
      <c r="AE33" s="11">
        <f>'Raw Values'!AI30</f>
        <v>0</v>
      </c>
      <c r="AF33" s="17" t="s">
        <v>41</v>
      </c>
      <c r="AG33" s="24">
        <f>'Damage @Range'!Y30</f>
        <v>2804.7895642364301</v>
      </c>
      <c r="AH33" s="24">
        <f>'Damage @Range(Armor)'!AA30</f>
        <v>197.20549142111702</v>
      </c>
    </row>
    <row r="34" spans="1:34" ht="15.75" customHeight="1" x14ac:dyDescent="0.15">
      <c r="A34" s="35" t="s">
        <v>72</v>
      </c>
      <c r="B34" s="27" t="s">
        <v>43</v>
      </c>
      <c r="C34" s="27" t="s">
        <v>43</v>
      </c>
      <c r="D34" s="17" t="s">
        <v>43</v>
      </c>
      <c r="E34" s="17" t="s">
        <v>43</v>
      </c>
      <c r="F34" s="28" t="s">
        <v>43</v>
      </c>
      <c r="G34" s="54" t="s">
        <v>43</v>
      </c>
      <c r="H34" s="14" t="s">
        <v>43</v>
      </c>
      <c r="I34" s="38" t="s">
        <v>43</v>
      </c>
      <c r="J34" s="30" t="s">
        <v>43</v>
      </c>
      <c r="K34" s="17" t="s">
        <v>43</v>
      </c>
      <c r="L34" s="17" t="s">
        <v>43</v>
      </c>
      <c r="M34" s="11">
        <f>'Raw Values'!AU30</f>
        <v>150</v>
      </c>
      <c r="N34" s="30" t="s">
        <v>43</v>
      </c>
      <c r="O34" s="31" t="s">
        <v>43</v>
      </c>
      <c r="P34" s="17" t="s">
        <v>43</v>
      </c>
      <c r="Q34" s="32" t="s">
        <v>61</v>
      </c>
      <c r="R34" s="19">
        <f t="shared" ref="R34:S34" si="25">152.4 / T34</f>
        <v>38.291457286432163</v>
      </c>
      <c r="S34" s="19">
        <f t="shared" si="25"/>
        <v>44.692082111436953</v>
      </c>
      <c r="T34" s="15">
        <f>SUM('Raw Values'!AJ30+'Raw Values'!AL30)</f>
        <v>3.98</v>
      </c>
      <c r="U34" s="15">
        <f>SUM('Raw Values'!AJ30+'Raw Values'!AK30)</f>
        <v>3.4099999999999997</v>
      </c>
      <c r="V34" s="15">
        <f>SUM('Raw Values'!AJ30+'Raw Values'!AL30+'Raw Values'!AN30)</f>
        <v>109.43</v>
      </c>
      <c r="W34" s="15">
        <f>SUM('Raw Values'!AJ30 + ('Raw Values'!AQ30*2))</f>
        <v>200.38000000000002</v>
      </c>
      <c r="X34" s="20">
        <f>SUM('Raw Values'!AJ30+'Raw Values'!AL30+'Raw Values'!AO30)</f>
        <v>109.969998</v>
      </c>
      <c r="Y34" s="20">
        <f>('Raw Values'!AO30+'Raw Values'!AP30*302)*(0.1^(0.333/('Raw Values'!AE30)))+T34</f>
        <v>32.325054157450452</v>
      </c>
      <c r="Z34" s="38" t="s">
        <v>43</v>
      </c>
      <c r="AA34" s="33" t="s">
        <v>43</v>
      </c>
      <c r="AB34" s="33" t="s">
        <v>43</v>
      </c>
      <c r="AC34" s="23">
        <f>'Raw Values'!AS30</f>
        <v>16</v>
      </c>
      <c r="AD34" s="17" t="s">
        <v>43</v>
      </c>
      <c r="AE34" s="17" t="s">
        <v>43</v>
      </c>
      <c r="AF34" s="17" t="s">
        <v>43</v>
      </c>
      <c r="AG34" s="34" t="s">
        <v>43</v>
      </c>
      <c r="AH34" s="34" t="s">
        <v>43</v>
      </c>
    </row>
    <row r="35" spans="1:34" ht="15.75" customHeight="1" x14ac:dyDescent="0.15">
      <c r="A35" s="35" t="s">
        <v>73</v>
      </c>
      <c r="B35" s="10">
        <f>'Raw Values'!K31</f>
        <v>2050</v>
      </c>
      <c r="C35" s="10">
        <f>'Raw Values'!H31</f>
        <v>300</v>
      </c>
      <c r="D35" s="11">
        <f>'Raw Values'!C31</f>
        <v>30</v>
      </c>
      <c r="E35" s="11">
        <f>'Raw Values'!O31</f>
        <v>1</v>
      </c>
      <c r="F35" s="12">
        <f>SUM('Raw Values'!B31/2)</f>
        <v>0.7</v>
      </c>
      <c r="G35" s="52">
        <f>SUM(1-'Raw Values'!D31)</f>
        <v>4.0000000000000036E-2</v>
      </c>
      <c r="H35" s="14">
        <f>'Raw Values'!$E31</f>
        <v>4</v>
      </c>
      <c r="I35" s="15">
        <f>SUM(60/'Raw Values'!F31)</f>
        <v>666.66666666666674</v>
      </c>
      <c r="J35" s="16">
        <f>'Raw Values'!G31</f>
        <v>2</v>
      </c>
      <c r="K35" s="11">
        <f>'Raw Values'!J31</f>
        <v>25</v>
      </c>
      <c r="L35" s="17">
        <v>90</v>
      </c>
      <c r="M35" s="11">
        <f>'Raw Values'!I31</f>
        <v>220</v>
      </c>
      <c r="N35" s="16">
        <f>SUM(1-'Raw Values'!Q31)</f>
        <v>0.6</v>
      </c>
      <c r="O35" s="18">
        <f>'Raw Values'!L31</f>
        <v>8192</v>
      </c>
      <c r="P35" s="17" t="s">
        <v>39</v>
      </c>
      <c r="Q35" s="17" t="s">
        <v>61</v>
      </c>
      <c r="R35" s="19">
        <f t="shared" ref="R35:S35" si="26">152.4 / T35</f>
        <v>14.58373205741627</v>
      </c>
      <c r="S35" s="19">
        <f t="shared" si="26"/>
        <v>19.073842302878599</v>
      </c>
      <c r="T35" s="15">
        <f>SUM('Raw Values'!S31+'Raw Values'!U31)</f>
        <v>10.45</v>
      </c>
      <c r="U35" s="15">
        <f>SUM('Raw Values'!S31+'Raw Values'!T31)</f>
        <v>7.9899999999999993</v>
      </c>
      <c r="V35" s="15">
        <f>SUM('Raw Values'!S31+'Raw Values'!U31+'Raw Values'!W31)</f>
        <v>109.79</v>
      </c>
      <c r="W35" s="15">
        <f>SUM('Raw Values'!S31 + ('Raw Values'!AB31*2))</f>
        <v>238.03199999999998</v>
      </c>
      <c r="X35" s="20">
        <f>('Raw Values'!S31+'Raw Values'!U31+'Raw Values'!X31)</f>
        <v>120.83999</v>
      </c>
      <c r="Y35" s="20">
        <f>('Raw Values'!X31+'Raw Values'!AA31*302)*(0.1^(0.333/('Raw Values'!AE31)))+T35</f>
        <v>18.472047925814486</v>
      </c>
      <c r="Z35" s="15">
        <f>'Raw Values'!V31</f>
        <v>6.05</v>
      </c>
      <c r="AA35" s="22">
        <f>'Raw Values'!AC31</f>
        <v>0.12</v>
      </c>
      <c r="AB35" s="22">
        <f>'Raw Values'!AE31</f>
        <v>0.25</v>
      </c>
      <c r="AC35" s="23">
        <f>'Raw Values'!AH31</f>
        <v>20</v>
      </c>
      <c r="AD35" s="11">
        <f>'Raw Values'!AG31</f>
        <v>60</v>
      </c>
      <c r="AE35" s="11">
        <f>'Raw Values'!AI31</f>
        <v>1</v>
      </c>
      <c r="AF35" s="17" t="s">
        <v>41</v>
      </c>
      <c r="AG35" s="24">
        <f>'Damage @Range'!Y31</f>
        <v>2233.1289656056588</v>
      </c>
      <c r="AH35" s="24" t="str">
        <f>'Damage @Range(Armor)'!AA31</f>
        <v>N/A</v>
      </c>
    </row>
    <row r="36" spans="1:34" ht="15.75" customHeight="1" x14ac:dyDescent="0.15">
      <c r="A36" s="55" t="s">
        <v>74</v>
      </c>
      <c r="B36" s="56" t="s">
        <v>43</v>
      </c>
      <c r="C36" s="56" t="s">
        <v>43</v>
      </c>
      <c r="D36" s="56" t="s">
        <v>43</v>
      </c>
      <c r="E36" s="57" t="s">
        <v>43</v>
      </c>
      <c r="F36" s="58" t="s">
        <v>43</v>
      </c>
      <c r="G36" s="59" t="s">
        <v>43</v>
      </c>
      <c r="H36" s="60" t="s">
        <v>43</v>
      </c>
      <c r="I36" s="15">
        <f>SUM(60/'Raw Values'!BA31)</f>
        <v>800</v>
      </c>
      <c r="J36" s="56" t="s">
        <v>43</v>
      </c>
      <c r="K36" s="56" t="s">
        <v>43</v>
      </c>
      <c r="L36" s="56" t="s">
        <v>43</v>
      </c>
      <c r="M36" s="56" t="s">
        <v>43</v>
      </c>
      <c r="N36" s="57" t="s">
        <v>43</v>
      </c>
      <c r="O36" s="56" t="s">
        <v>43</v>
      </c>
      <c r="P36" s="58" t="s">
        <v>35</v>
      </c>
      <c r="Q36" s="61" t="s">
        <v>61</v>
      </c>
      <c r="R36" s="19">
        <f t="shared" ref="R36:S36" si="27">152.4 / T36</f>
        <v>35.524475524475527</v>
      </c>
      <c r="S36" s="19">
        <f t="shared" si="27"/>
        <v>39.584415584415588</v>
      </c>
      <c r="T36" s="15">
        <f>SUM('Raw Values'!AJ31+'Raw Values'!AL31)</f>
        <v>4.29</v>
      </c>
      <c r="U36" s="15">
        <f>SUM('Raw Values'!AJ31+'Raw Values'!AK31)</f>
        <v>3.85</v>
      </c>
      <c r="V36" s="15">
        <f>SUM('Raw Values'!AJ31+'Raw Values'!AL31+'Raw Values'!AN31)</f>
        <v>103.63000000000001</v>
      </c>
      <c r="W36" s="15">
        <f>SUM('Raw Values'!AJ31 + ('Raw Values'!AQ31*2))</f>
        <v>238.03199999999998</v>
      </c>
      <c r="X36" s="20">
        <f>SUM('Raw Values'!AJ31+'Raw Values'!AL31+'Raw Values'!AO31)</f>
        <v>114.67999</v>
      </c>
      <c r="Y36" s="20">
        <f>('Raw Values'!AO31+'Raw Values'!AP31*302)*(0.1^(0.333/('Raw Values'!AE31)))+T36</f>
        <v>12.31204792581449</v>
      </c>
      <c r="Z36" s="15">
        <f>'Raw Values'!AM31</f>
        <v>3.35</v>
      </c>
      <c r="AA36" s="57" t="s">
        <v>43</v>
      </c>
      <c r="AB36" s="57" t="s">
        <v>43</v>
      </c>
      <c r="AC36" s="23">
        <f>'Raw Values'!AS31</f>
        <v>20</v>
      </c>
      <c r="AD36" s="11">
        <f>'Raw Values'!AR31</f>
        <v>50</v>
      </c>
      <c r="AE36" s="58" t="s">
        <v>43</v>
      </c>
      <c r="AF36" s="58" t="s">
        <v>37</v>
      </c>
      <c r="AG36" s="57" t="s">
        <v>43</v>
      </c>
      <c r="AH36" s="57" t="s">
        <v>43</v>
      </c>
    </row>
    <row r="37" spans="1:34" ht="15.75" customHeight="1" x14ac:dyDescent="0.15">
      <c r="A37" s="36" t="s">
        <v>75</v>
      </c>
      <c r="B37" s="10">
        <f>'Raw Values'!K32</f>
        <v>1800</v>
      </c>
      <c r="C37" s="10">
        <f>'Raw Values'!H32</f>
        <v>300</v>
      </c>
      <c r="D37" s="11">
        <f>'Raw Values'!C32</f>
        <v>30</v>
      </c>
      <c r="E37" s="11">
        <f>'Raw Values'!O32</f>
        <v>1</v>
      </c>
      <c r="F37" s="12">
        <f>SUM('Raw Values'!B32/2)</f>
        <v>0.77500000000000002</v>
      </c>
      <c r="G37" s="52">
        <f>SUM(1-'Raw Values'!D32)</f>
        <v>2.0000000000000018E-2</v>
      </c>
      <c r="H37" s="14">
        <f>'Raw Values'!$E32</f>
        <v>4</v>
      </c>
      <c r="I37" s="15">
        <f>SUM(60/'Raw Values'!F32)</f>
        <v>666.66666666666674</v>
      </c>
      <c r="J37" s="16">
        <f>'Raw Values'!G32</f>
        <v>2</v>
      </c>
      <c r="K37" s="11">
        <f>'Raw Values'!J32</f>
        <v>35</v>
      </c>
      <c r="L37" s="17">
        <v>90</v>
      </c>
      <c r="M37" s="11">
        <f>'Raw Values'!I32</f>
        <v>215</v>
      </c>
      <c r="N37" s="16">
        <f>SUM(1-'Raw Values'!Q32)</f>
        <v>0.6</v>
      </c>
      <c r="O37" s="18">
        <f>'Raw Values'!L32</f>
        <v>8192</v>
      </c>
      <c r="P37" s="17" t="s">
        <v>39</v>
      </c>
      <c r="Q37" s="17" t="s">
        <v>61</v>
      </c>
      <c r="R37" s="19">
        <f t="shared" ref="R37:S37" si="28">152.4 / T37</f>
        <v>16.264674493062969</v>
      </c>
      <c r="S37" s="19">
        <f t="shared" si="28"/>
        <v>21.225626740947078</v>
      </c>
      <c r="T37" s="15">
        <f>SUM('Raw Values'!S32+'Raw Values'!U32)</f>
        <v>9.3699999999999992</v>
      </c>
      <c r="U37" s="15">
        <f>SUM('Raw Values'!S32+'Raw Values'!T32)</f>
        <v>7.18</v>
      </c>
      <c r="V37" s="15">
        <f>SUM('Raw Values'!S32+'Raw Values'!U32+'Raw Values'!W32)</f>
        <v>132.93</v>
      </c>
      <c r="W37" s="15">
        <f>SUM('Raw Values'!S32 + ('Raw Values'!AB32*2))</f>
        <v>227.76</v>
      </c>
      <c r="X37" s="20">
        <f>('Raw Values'!S32+'Raw Values'!U32+'Raw Values'!X32)</f>
        <v>159.14999900000001</v>
      </c>
      <c r="Y37" s="20">
        <f>('Raw Values'!X32+'Raw Values'!AA32*302)*(0.1^(0.333/('Raw Values'!AE32)))+T37</f>
        <v>26.997950943319573</v>
      </c>
      <c r="Z37" s="15">
        <f>'Raw Values'!V32</f>
        <v>7</v>
      </c>
      <c r="AA37" s="22">
        <f>'Raw Values'!AC32</f>
        <v>0.15</v>
      </c>
      <c r="AB37" s="22">
        <f>'Raw Values'!AE32</f>
        <v>0.3</v>
      </c>
      <c r="AC37" s="23">
        <f>'Raw Values'!AH32</f>
        <v>21</v>
      </c>
      <c r="AD37" s="11">
        <f>'Raw Values'!AG32</f>
        <v>70</v>
      </c>
      <c r="AE37" s="11">
        <f>'Raw Values'!AI32</f>
        <v>1</v>
      </c>
      <c r="AF37" s="17" t="s">
        <v>41</v>
      </c>
      <c r="AG37" s="24">
        <f>'Damage @Range'!Y32</f>
        <v>4512.3050571506383</v>
      </c>
      <c r="AH37" s="24" t="str">
        <f>'Damage @Range(Armor)'!AA32</f>
        <v>N/A</v>
      </c>
    </row>
    <row r="38" spans="1:34" ht="15.75" customHeight="1" x14ac:dyDescent="0.15">
      <c r="A38" s="35" t="s">
        <v>76</v>
      </c>
      <c r="B38" s="10">
        <f>'Raw Values'!K33</f>
        <v>3100</v>
      </c>
      <c r="C38" s="10">
        <f>'Raw Values'!H33</f>
        <v>300</v>
      </c>
      <c r="D38" s="11">
        <f>'Raw Values'!C33</f>
        <v>33</v>
      </c>
      <c r="E38" s="11">
        <f>'Raw Values'!O33</f>
        <v>1</v>
      </c>
      <c r="F38" s="12">
        <f>SUM('Raw Values'!B33/2)</f>
        <v>0.7</v>
      </c>
      <c r="G38" s="52">
        <f>SUM(1-'Raw Values'!D33)</f>
        <v>3.0000000000000027E-2</v>
      </c>
      <c r="H38" s="14">
        <f>'Raw Values'!$E33</f>
        <v>4</v>
      </c>
      <c r="I38" s="15">
        <f>SUM(60/'Raw Values'!F33)</f>
        <v>666.66666666666674</v>
      </c>
      <c r="J38" s="16">
        <f>'Raw Values'!G33</f>
        <v>2</v>
      </c>
      <c r="K38" s="11">
        <f>'Raw Values'!J33</f>
        <v>30</v>
      </c>
      <c r="L38" s="17">
        <v>90</v>
      </c>
      <c r="M38" s="11">
        <f>'Raw Values'!I33</f>
        <v>225</v>
      </c>
      <c r="N38" s="16">
        <f>SUM(1-'Raw Values'!Q33)</f>
        <v>0.6</v>
      </c>
      <c r="O38" s="18">
        <f>'Raw Values'!L33</f>
        <v>8192</v>
      </c>
      <c r="P38" s="17" t="s">
        <v>39</v>
      </c>
      <c r="Q38" s="17" t="s">
        <v>61</v>
      </c>
      <c r="R38" s="19">
        <f t="shared" ref="R38:S38" si="29">152.4 / T38</f>
        <v>27.709090909090911</v>
      </c>
      <c r="S38" s="19">
        <f t="shared" si="29"/>
        <v>32.425531914893625</v>
      </c>
      <c r="T38" s="15">
        <f>SUM('Raw Values'!S33+'Raw Values'!U33)</f>
        <v>5.5</v>
      </c>
      <c r="U38" s="15">
        <f>SUM('Raw Values'!S33+'Raw Values'!T33)</f>
        <v>4.6999999999999993</v>
      </c>
      <c r="V38" s="15">
        <f>SUM('Raw Values'!S33+'Raw Values'!U33+'Raw Values'!W33)</f>
        <v>143.38</v>
      </c>
      <c r="W38" s="15">
        <f>SUM('Raw Values'!S33 + ('Raw Values'!AB33*2))</f>
        <v>222.58799999999999</v>
      </c>
      <c r="X38" s="20">
        <f>('Raw Values'!S33+'Raw Values'!U33+'Raw Values'!X33)</f>
        <v>102.769997</v>
      </c>
      <c r="Y38" s="20">
        <f>('Raw Values'!X33+'Raw Values'!AA33*302)*(0.1^(0.333/('Raw Values'!AE33)))+T38</f>
        <v>21.664821535355014</v>
      </c>
      <c r="Z38" s="15">
        <f>'Raw Values'!V33</f>
        <v>7</v>
      </c>
      <c r="AA38" s="22">
        <f>'Raw Values'!AC33</f>
        <v>0.24210000000000001</v>
      </c>
      <c r="AB38" s="22">
        <f>'Raw Values'!AE33</f>
        <v>0.33894099999999999</v>
      </c>
      <c r="AC38" s="23">
        <f>'Raw Values'!AH33</f>
        <v>23</v>
      </c>
      <c r="AD38" s="11">
        <f>'Raw Values'!AG33</f>
        <v>70</v>
      </c>
      <c r="AE38" s="11">
        <f>'Raw Values'!AI33</f>
        <v>0</v>
      </c>
      <c r="AF38" s="17" t="s">
        <v>41</v>
      </c>
      <c r="AG38" s="24">
        <f>'Damage @Range'!Y33</f>
        <v>4557.4353294920575</v>
      </c>
      <c r="AH38" s="24" t="str">
        <f>'Damage @Range(Armor)'!AA33</f>
        <v>N/A</v>
      </c>
    </row>
    <row r="39" spans="1:34" ht="15.75" customHeight="1" x14ac:dyDescent="0.15">
      <c r="A39" s="35" t="s">
        <v>293</v>
      </c>
      <c r="B39" s="10">
        <f>'Raw Values'!K34</f>
        <v>2900</v>
      </c>
      <c r="C39" s="10">
        <f>'Raw Values'!H34</f>
        <v>300</v>
      </c>
      <c r="D39" s="11">
        <f>'Raw Values'!C34</f>
        <v>38</v>
      </c>
      <c r="E39" s="11">
        <f>'Raw Values'!O34</f>
        <v>1</v>
      </c>
      <c r="F39" s="12">
        <f>SUM('Raw Values'!B34/2)</f>
        <v>0.7</v>
      </c>
      <c r="G39" s="52">
        <f>SUM(1-'Raw Values'!D34)</f>
        <v>1.0000000000000009E-2</v>
      </c>
      <c r="H39" s="14">
        <f>'Raw Values'!$E34</f>
        <v>3.4750000000000001</v>
      </c>
      <c r="I39" s="15">
        <f>SUM(60/'Raw Values'!F34)</f>
        <v>600</v>
      </c>
      <c r="J39" s="16">
        <f>'Raw Values'!G34</f>
        <v>2</v>
      </c>
      <c r="K39" s="11">
        <f>'Raw Values'!J34</f>
        <v>25</v>
      </c>
      <c r="L39" s="32">
        <v>75</v>
      </c>
      <c r="M39" s="11">
        <f>'Raw Values'!I34</f>
        <v>225</v>
      </c>
      <c r="N39" s="16">
        <f>SUM(1-'Raw Values'!Q34)</f>
        <v>0.6</v>
      </c>
      <c r="O39" s="18">
        <f>'Raw Values'!L34</f>
        <v>8192</v>
      </c>
      <c r="P39" s="17" t="s">
        <v>39</v>
      </c>
      <c r="Q39" s="17" t="s">
        <v>61</v>
      </c>
      <c r="R39" s="19">
        <f t="shared" ref="R39:S39" si="30">152.4 / T39</f>
        <v>27.709090909090911</v>
      </c>
      <c r="S39" s="19">
        <f t="shared" si="30"/>
        <v>32.425531914893625</v>
      </c>
      <c r="T39" s="15">
        <f>SUM('Raw Values'!S34+'Raw Values'!U34)</f>
        <v>5.5</v>
      </c>
      <c r="U39" s="15">
        <f>SUM('Raw Values'!S34+'Raw Values'!T34)</f>
        <v>4.6999999999999993</v>
      </c>
      <c r="V39" s="15">
        <f>SUM('Raw Values'!S34+'Raw Values'!U34+'Raw Values'!W34)</f>
        <v>98.38</v>
      </c>
      <c r="W39" s="15">
        <f>SUM('Raw Values'!S34 + ('Raw Values'!AB34*2))</f>
        <v>222.58799999999999</v>
      </c>
      <c r="X39" s="20">
        <f>('Raw Values'!S34+'Raw Values'!U34+'Raw Values'!X34)</f>
        <v>105.199997</v>
      </c>
      <c r="Y39" s="20">
        <f>('Raw Values'!X34+'Raw Values'!AA34*302)*(0.1^(0.333/('Raw Values'!AE34)))+T39</f>
        <v>22.07504863468888</v>
      </c>
      <c r="Z39" s="15">
        <f>'Raw Values'!V34</f>
        <v>12</v>
      </c>
      <c r="AA39" s="22">
        <f>'Raw Values'!AC34</f>
        <v>0.24210000000000001</v>
      </c>
      <c r="AB39" s="22">
        <f>'Raw Values'!AE34</f>
        <v>0.33894099999999999</v>
      </c>
      <c r="AC39" s="23">
        <f>'Raw Values'!AH34</f>
        <v>25</v>
      </c>
      <c r="AD39" s="11">
        <f>'Raw Values'!AG34</f>
        <v>65</v>
      </c>
      <c r="AE39" s="11">
        <f>'Raw Values'!AI34</f>
        <v>3</v>
      </c>
      <c r="AF39" s="17" t="s">
        <v>41</v>
      </c>
      <c r="AG39" s="24">
        <f>'Damage @Range'!Y34</f>
        <v>13830.903603992176</v>
      </c>
      <c r="AH39" s="24" t="str">
        <f>'Damage @Range(Armor)'!AA34</f>
        <v>N/A</v>
      </c>
    </row>
    <row r="40" spans="1:34" ht="15.75" customHeight="1" x14ac:dyDescent="0.15">
      <c r="A40" s="62" t="s">
        <v>312</v>
      </c>
      <c r="B40" s="56" t="s">
        <v>43</v>
      </c>
      <c r="C40" s="56" t="s">
        <v>43</v>
      </c>
      <c r="D40" s="56" t="s">
        <v>43</v>
      </c>
      <c r="E40" s="57" t="s">
        <v>43</v>
      </c>
      <c r="F40" s="58" t="s">
        <v>43</v>
      </c>
      <c r="G40" s="59" t="s">
        <v>43</v>
      </c>
      <c r="H40" s="60" t="s">
        <v>43</v>
      </c>
      <c r="I40" s="56" t="s">
        <v>43</v>
      </c>
      <c r="J40" s="56" t="s">
        <v>43</v>
      </c>
      <c r="K40" s="56" t="s">
        <v>43</v>
      </c>
      <c r="L40" s="56" t="s">
        <v>43</v>
      </c>
      <c r="M40" s="56" t="s">
        <v>43</v>
      </c>
      <c r="N40" s="57" t="s">
        <v>43</v>
      </c>
      <c r="O40" s="56" t="s">
        <v>43</v>
      </c>
      <c r="P40" s="56" t="s">
        <v>43</v>
      </c>
      <c r="Q40" s="58" t="s">
        <v>45</v>
      </c>
      <c r="R40" s="19">
        <f t="shared" ref="R40:S40" si="31">152.4 / T40</f>
        <v>28.222222222222221</v>
      </c>
      <c r="S40" s="19">
        <f t="shared" si="31"/>
        <v>33.130434782608702</v>
      </c>
      <c r="T40" s="15">
        <f>SUM('Raw Values'!AJ34+'Raw Values'!AL34)</f>
        <v>5.4</v>
      </c>
      <c r="U40" s="15">
        <f>SUM('Raw Values'!AJ34+'Raw Values'!AK34)</f>
        <v>4.5999999999999996</v>
      </c>
      <c r="V40" s="15">
        <f>SUM('Raw Values'!AJ34+'Raw Values'!AL34+'Raw Values'!AN34)</f>
        <v>127.4</v>
      </c>
      <c r="W40" s="15">
        <f>SUM('Raw Values'!AJ34 + ('Raw Values'!AQ34*2))</f>
        <v>227.84399999999999</v>
      </c>
      <c r="X40" s="20">
        <f>SUM('Raw Values'!AJ34+'Raw Values'!AL34+'Raw Values'!AO34)</f>
        <v>105.099997</v>
      </c>
      <c r="Y40" s="20">
        <f>('Raw Values'!AO34+'Raw Values'!AP34*302)*(0.1^(0.333/('Raw Values'!AE34)))+T40</f>
        <v>21.975048634688882</v>
      </c>
      <c r="Z40" s="15">
        <f>'Raw Values'!AM34</f>
        <v>7</v>
      </c>
      <c r="AA40" s="57" t="s">
        <v>43</v>
      </c>
      <c r="AB40" s="57" t="s">
        <v>43</v>
      </c>
      <c r="AC40" s="23">
        <f>'Raw Values'!AS34</f>
        <v>21</v>
      </c>
      <c r="AD40" s="58" t="s">
        <v>43</v>
      </c>
      <c r="AE40" s="18">
        <f>'Raw Values'!AT34</f>
        <v>0</v>
      </c>
      <c r="AF40" s="58" t="s">
        <v>43</v>
      </c>
      <c r="AG40" s="58" t="s">
        <v>43</v>
      </c>
      <c r="AH40" s="57" t="s">
        <v>43</v>
      </c>
    </row>
    <row r="41" spans="1:34" ht="15.75" customHeight="1" x14ac:dyDescent="0.15">
      <c r="A41" s="36" t="s">
        <v>77</v>
      </c>
      <c r="B41" s="10">
        <f>'Raw Values'!K35</f>
        <v>3000</v>
      </c>
      <c r="C41" s="10">
        <f>'Raw Values'!H35</f>
        <v>300</v>
      </c>
      <c r="D41" s="11">
        <f>'Raw Values'!C35</f>
        <v>30</v>
      </c>
      <c r="E41" s="11">
        <f>'Raw Values'!O35</f>
        <v>1</v>
      </c>
      <c r="F41" s="12">
        <f>SUM('Raw Values'!B35/2)</f>
        <v>1</v>
      </c>
      <c r="G41" s="52">
        <f>SUM(1-'Raw Values'!D35)</f>
        <v>2.0000000000000018E-2</v>
      </c>
      <c r="H41" s="14">
        <f>'Raw Values'!$E35</f>
        <v>4</v>
      </c>
      <c r="I41" s="15">
        <f>SUM(60/'Raw Values'!F35)</f>
        <v>545.4545454545455</v>
      </c>
      <c r="J41" s="16">
        <f>'Raw Values'!G35</f>
        <v>2</v>
      </c>
      <c r="K41" s="11">
        <f>'Raw Values'!J35</f>
        <v>30</v>
      </c>
      <c r="L41" s="17">
        <v>90</v>
      </c>
      <c r="M41" s="11">
        <f>'Raw Values'!I35</f>
        <v>210</v>
      </c>
      <c r="N41" s="16">
        <f>SUM(1-'Raw Values'!Q35)</f>
        <v>0.6</v>
      </c>
      <c r="O41" s="18">
        <f>'Raw Values'!L35</f>
        <v>8192</v>
      </c>
      <c r="P41" s="17" t="s">
        <v>39</v>
      </c>
      <c r="Q41" s="17" t="s">
        <v>61</v>
      </c>
      <c r="R41" s="19">
        <f t="shared" ref="R41:S41" si="32">152.4 / T41</f>
        <v>23.775351014040567</v>
      </c>
      <c r="S41" s="19">
        <f t="shared" si="32"/>
        <v>34.557823129251702</v>
      </c>
      <c r="T41" s="15">
        <f>SUM('Raw Values'!S35+'Raw Values'!U35)</f>
        <v>6.4099999999999993</v>
      </c>
      <c r="U41" s="15">
        <f>SUM('Raw Values'!S35+'Raw Values'!T35)</f>
        <v>4.41</v>
      </c>
      <c r="V41" s="15">
        <f>SUM('Raw Values'!S35+'Raw Values'!U35+'Raw Values'!W35)</f>
        <v>142.41999999999999</v>
      </c>
      <c r="W41" s="15">
        <f>SUM('Raw Values'!S35 + ('Raw Values'!AB35*2))</f>
        <v>167.92</v>
      </c>
      <c r="X41" s="20">
        <f>('Raw Values'!S35+'Raw Values'!U35+'Raw Values'!X35)</f>
        <v>115.41</v>
      </c>
      <c r="Y41" s="20">
        <f>('Raw Values'!X35+'Raw Values'!AA35*302)*(0.1^(0.333/('Raw Values'!AE35)))+T41</f>
        <v>36.905606856842319</v>
      </c>
      <c r="Z41" s="15">
        <f>'Raw Values'!V35</f>
        <v>7.95</v>
      </c>
      <c r="AA41" s="22">
        <f>'Raw Values'!AC35</f>
        <v>0.37920399999999999</v>
      </c>
      <c r="AB41" s="22">
        <f>'Raw Values'!AE35</f>
        <v>0.45288600000000001</v>
      </c>
      <c r="AC41" s="23">
        <f>'Raw Values'!AH35</f>
        <v>28</v>
      </c>
      <c r="AD41" s="11">
        <f>'Raw Values'!AG35</f>
        <v>60</v>
      </c>
      <c r="AE41" s="11">
        <f>'Raw Values'!AI35</f>
        <v>2</v>
      </c>
      <c r="AF41" s="17" t="s">
        <v>41</v>
      </c>
      <c r="AG41" s="24">
        <f>'Damage @Range'!Y35</f>
        <v>4512.3050571506383</v>
      </c>
      <c r="AH41" s="24">
        <f>'Damage @Range(Armor)'!AA35</f>
        <v>4512.3050571506383</v>
      </c>
    </row>
    <row r="42" spans="1:34" ht="15.75" customHeight="1" x14ac:dyDescent="0.15">
      <c r="A42" s="63" t="s">
        <v>78</v>
      </c>
      <c r="B42" s="17" t="s">
        <v>43</v>
      </c>
      <c r="C42" s="17" t="s">
        <v>43</v>
      </c>
      <c r="D42" s="17" t="s">
        <v>43</v>
      </c>
      <c r="E42" s="17" t="s">
        <v>43</v>
      </c>
      <c r="F42" s="17" t="s">
        <v>43</v>
      </c>
      <c r="G42" s="54" t="s">
        <v>43</v>
      </c>
      <c r="H42" s="14" t="s">
        <v>43</v>
      </c>
      <c r="I42" s="38" t="s">
        <v>43</v>
      </c>
      <c r="J42" s="17" t="s">
        <v>43</v>
      </c>
      <c r="K42" s="17" t="s">
        <v>43</v>
      </c>
      <c r="L42" s="17" t="s">
        <v>43</v>
      </c>
      <c r="M42" s="11">
        <f>'Raw Values'!AU35</f>
        <v>150</v>
      </c>
      <c r="N42" s="17" t="s">
        <v>43</v>
      </c>
      <c r="O42" s="17" t="s">
        <v>43</v>
      </c>
      <c r="P42" s="17" t="s">
        <v>43</v>
      </c>
      <c r="Q42" s="32" t="s">
        <v>61</v>
      </c>
      <c r="R42" s="19">
        <f t="shared" ref="R42:S42" si="33">152.4 / T42</f>
        <v>37.080291970802918</v>
      </c>
      <c r="S42" s="19">
        <f t="shared" si="33"/>
        <v>45.492537313432841</v>
      </c>
      <c r="T42" s="15">
        <f>SUM('Raw Values'!AJ35+'Raw Values'!AL35)</f>
        <v>4.1100000000000003</v>
      </c>
      <c r="U42" s="15">
        <f>SUM('Raw Values'!AJ35+'Raw Values'!AK35)</f>
        <v>3.3499999999999996</v>
      </c>
      <c r="V42" s="15">
        <f>SUM('Raw Values'!AJ35+'Raw Values'!AL35+'Raw Values'!AN35)</f>
        <v>140.12</v>
      </c>
      <c r="W42" s="15">
        <f>SUM('Raw Values'!AJ35 + ('Raw Values'!AQ35*2))</f>
        <v>277.81600000000003</v>
      </c>
      <c r="X42" s="20">
        <f>SUM('Raw Values'!AJ35+'Raw Values'!AL35+'Raw Values'!AO35)</f>
        <v>113.11</v>
      </c>
      <c r="Y42" s="20">
        <f>('Raw Values'!AO35+'Raw Values'!AP35*302)*(0.1^(0.333/('Raw Values'!AE35)))+T42</f>
        <v>34.605606856842321</v>
      </c>
      <c r="Z42" s="38" t="s">
        <v>43</v>
      </c>
      <c r="AA42" s="33" t="s">
        <v>43</v>
      </c>
      <c r="AB42" s="33" t="s">
        <v>43</v>
      </c>
      <c r="AC42" s="23">
        <f>'Raw Values'!AS35</f>
        <v>19</v>
      </c>
      <c r="AD42" s="17" t="s">
        <v>43</v>
      </c>
      <c r="AE42" s="17" t="s">
        <v>43</v>
      </c>
      <c r="AF42" s="17" t="s">
        <v>43</v>
      </c>
      <c r="AG42" s="17" t="s">
        <v>43</v>
      </c>
      <c r="AH42" s="17" t="s">
        <v>43</v>
      </c>
    </row>
    <row r="43" spans="1:34" ht="15.75" customHeight="1" x14ac:dyDescent="0.15">
      <c r="A43" s="39"/>
      <c r="B43" s="39"/>
      <c r="C43" s="39"/>
      <c r="D43" s="39"/>
      <c r="E43" s="39"/>
      <c r="F43" s="39"/>
      <c r="G43" s="39"/>
      <c r="H43" s="40"/>
      <c r="I43" s="41"/>
      <c r="J43" s="39"/>
      <c r="K43" s="39"/>
      <c r="L43" s="39"/>
      <c r="M43" s="39"/>
      <c r="N43" s="39"/>
      <c r="O43" s="39"/>
      <c r="P43" s="39"/>
      <c r="Q43" s="39"/>
      <c r="R43" s="42"/>
      <c r="S43" s="42"/>
      <c r="T43" s="41"/>
      <c r="U43" s="41"/>
      <c r="V43" s="41"/>
      <c r="W43" s="43"/>
      <c r="X43" s="44"/>
      <c r="Y43" s="43"/>
      <c r="Z43" s="45"/>
      <c r="AA43" s="46"/>
      <c r="AB43" s="46"/>
      <c r="AC43" s="47"/>
      <c r="AD43" s="39"/>
      <c r="AE43" s="39"/>
      <c r="AF43" s="48"/>
      <c r="AG43" s="49"/>
      <c r="AH43" s="49"/>
    </row>
    <row r="44" spans="1:34" ht="15.75" customHeight="1" x14ac:dyDescent="0.15">
      <c r="A44" s="1" t="s">
        <v>79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50" t="s">
        <v>7</v>
      </c>
      <c r="I44" s="4" t="s">
        <v>54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5" t="s">
        <v>17</v>
      </c>
      <c r="S44" s="5" t="s">
        <v>18</v>
      </c>
      <c r="T44" s="4" t="s">
        <v>19</v>
      </c>
      <c r="U44" s="4" t="s">
        <v>20</v>
      </c>
      <c r="V44" s="4" t="s">
        <v>21</v>
      </c>
      <c r="W44" s="4" t="s">
        <v>22</v>
      </c>
      <c r="X44" s="51" t="s">
        <v>23</v>
      </c>
      <c r="Y44" s="4" t="s">
        <v>24</v>
      </c>
      <c r="Z44" s="4" t="s">
        <v>25</v>
      </c>
      <c r="AA44" s="7" t="s">
        <v>26</v>
      </c>
      <c r="AB44" s="7" t="s">
        <v>27</v>
      </c>
      <c r="AC44" s="8" t="s">
        <v>28</v>
      </c>
      <c r="AD44" s="2" t="s">
        <v>29</v>
      </c>
      <c r="AE44" s="2" t="s">
        <v>30</v>
      </c>
      <c r="AF44" s="2" t="s">
        <v>31</v>
      </c>
      <c r="AG44" s="2" t="s">
        <v>32</v>
      </c>
      <c r="AH44" s="2" t="s">
        <v>33</v>
      </c>
    </row>
    <row r="45" spans="1:34" ht="15.75" customHeight="1" x14ac:dyDescent="0.15">
      <c r="A45" s="9" t="s">
        <v>80</v>
      </c>
      <c r="B45" s="10">
        <f>'Raw Values'!K38</f>
        <v>5200</v>
      </c>
      <c r="C45" s="10">
        <f>'Raw Values'!H38</f>
        <v>300</v>
      </c>
      <c r="D45" s="11">
        <f>'Raw Values'!C38</f>
        <v>32</v>
      </c>
      <c r="E45" s="11">
        <f>'Raw Values'!O38</f>
        <v>1</v>
      </c>
      <c r="F45" s="12">
        <f>SUM('Raw Values'!B38/2)</f>
        <v>0.8</v>
      </c>
      <c r="G45" s="52">
        <f>SUM(1-'Raw Values'!D38)</f>
        <v>3.0000000000000027E-2</v>
      </c>
      <c r="H45" s="14">
        <f>'Raw Values'!$E38</f>
        <v>4</v>
      </c>
      <c r="I45" s="15">
        <f>SUM(60/'Raw Values'!F38)</f>
        <v>750</v>
      </c>
      <c r="J45" s="16">
        <f>'Raw Values'!G38</f>
        <v>2</v>
      </c>
      <c r="K45" s="11">
        <f>'Raw Values'!J38</f>
        <v>100</v>
      </c>
      <c r="L45" s="17">
        <v>200</v>
      </c>
      <c r="M45" s="11">
        <f>'Raw Values'!I38</f>
        <v>195</v>
      </c>
      <c r="N45" s="16">
        <f>SUM(1-'Raw Values'!Q38)</f>
        <v>0.6</v>
      </c>
      <c r="O45" s="18">
        <f>'Raw Values'!L38</f>
        <v>8192</v>
      </c>
      <c r="P45" s="17" t="s">
        <v>39</v>
      </c>
      <c r="Q45" s="17" t="s">
        <v>36</v>
      </c>
      <c r="R45" s="19">
        <f t="shared" ref="R45:S45" si="34">152.4 / T45</f>
        <v>15.711340206185568</v>
      </c>
      <c r="S45" s="19">
        <f t="shared" si="34"/>
        <v>20.762942779291553</v>
      </c>
      <c r="T45" s="15">
        <f>SUM('Raw Values'!S38+'Raw Values'!U38)</f>
        <v>9.6999999999999993</v>
      </c>
      <c r="U45" s="15">
        <f>SUM('Raw Values'!S38+'Raw Values'!T38)</f>
        <v>7.34</v>
      </c>
      <c r="V45" s="15">
        <f>SUM('Raw Values'!S38+'Raw Values'!U38+'Raw Values'!W38)</f>
        <v>165.95</v>
      </c>
      <c r="W45" s="15">
        <f>SUM('Raw Values'!S38 + ('Raw Values'!AB38*2))</f>
        <v>267.62</v>
      </c>
      <c r="X45" s="20">
        <f>('Raw Values'!S38+'Raw Values'!U38+'Raw Values'!X38)</f>
        <v>289.17000100000001</v>
      </c>
      <c r="Y45" s="20">
        <f>('Raw Values'!X38+'Raw Values'!AA38*302)*(0.1^(0.333/('Raw Values'!AE38)))+T45</f>
        <v>168.18019135098152</v>
      </c>
      <c r="Z45" s="15">
        <f>'Raw Values'!V38</f>
        <v>3.56</v>
      </c>
      <c r="AA45" s="22">
        <f>'Raw Values'!AC38</f>
        <v>0.59209299999999998</v>
      </c>
      <c r="AB45" s="22">
        <f>'Raw Values'!AE38</f>
        <v>0.82893099999999997</v>
      </c>
      <c r="AC45" s="23">
        <f>'Raw Values'!AH38</f>
        <v>25</v>
      </c>
      <c r="AD45" s="11">
        <f>'Raw Values'!AG38</f>
        <v>50</v>
      </c>
      <c r="AE45" s="11">
        <f>'Raw Values'!AI38</f>
        <v>2</v>
      </c>
      <c r="AF45" s="17" t="s">
        <v>41</v>
      </c>
      <c r="AG45" s="24">
        <f>'Damage @Range'!Y38</f>
        <v>4052.3063191229926</v>
      </c>
      <c r="AH45" s="24">
        <f>'Damage @Range(Armor)'!AA38</f>
        <v>389.31621299113647</v>
      </c>
    </row>
    <row r="46" spans="1:34" ht="15.75" customHeight="1" x14ac:dyDescent="0.15">
      <c r="A46" s="9" t="s">
        <v>81</v>
      </c>
      <c r="B46" s="10">
        <f>'Raw Values'!K39</f>
        <v>1700</v>
      </c>
      <c r="C46" s="10">
        <f>'Raw Values'!H39</f>
        <v>300</v>
      </c>
      <c r="D46" s="11">
        <f>'Raw Values'!C39</f>
        <v>35</v>
      </c>
      <c r="E46" s="11">
        <f>'Raw Values'!O39</f>
        <v>1</v>
      </c>
      <c r="F46" s="12">
        <f>SUM('Raw Values'!B39/2)</f>
        <v>0.71</v>
      </c>
      <c r="G46" s="52">
        <f>SUM(1-'Raw Values'!D39)</f>
        <v>3.0000000000000027E-2</v>
      </c>
      <c r="H46" s="14">
        <f>'Raw Values'!$E39</f>
        <v>4</v>
      </c>
      <c r="I46" s="15">
        <f>SUM(60/'Raw Values'!F39)</f>
        <v>800</v>
      </c>
      <c r="J46" s="16">
        <f>'Raw Values'!G39</f>
        <v>2</v>
      </c>
      <c r="K46" s="11">
        <f>'Raw Values'!J39</f>
        <v>150</v>
      </c>
      <c r="L46" s="32">
        <v>300</v>
      </c>
      <c r="M46" s="11">
        <f>'Raw Values'!I39</f>
        <v>150</v>
      </c>
      <c r="N46" s="16">
        <f>SUM(1-'Raw Values'!Q39)</f>
        <v>0.6</v>
      </c>
      <c r="O46" s="18">
        <f>'Raw Values'!L39</f>
        <v>8192</v>
      </c>
      <c r="P46" s="17" t="s">
        <v>39</v>
      </c>
      <c r="Q46" s="17" t="s">
        <v>36</v>
      </c>
      <c r="R46" s="19">
        <f t="shared" ref="R46:S46" si="35">152.4 / T46</f>
        <v>12.522596548890716</v>
      </c>
      <c r="S46" s="19">
        <f t="shared" si="35"/>
        <v>15.825545171339567</v>
      </c>
      <c r="T46" s="15">
        <f>SUM('Raw Values'!S39+'Raw Values'!U39)</f>
        <v>12.17</v>
      </c>
      <c r="U46" s="15">
        <f>SUM('Raw Values'!S39+'Raw Values'!T39)</f>
        <v>9.629999999999999</v>
      </c>
      <c r="V46" s="15">
        <f>SUM('Raw Values'!S39+'Raw Values'!U39+'Raw Values'!W39)</f>
        <v>171.30999999999997</v>
      </c>
      <c r="W46" s="15">
        <f>SUM('Raw Values'!S39 + ('Raw Values'!AB39*2))</f>
        <v>274.86</v>
      </c>
      <c r="X46" s="20">
        <f>('Raw Values'!S39+'Raw Values'!U39+'Raw Values'!X39)</f>
        <v>304.40001100000001</v>
      </c>
      <c r="Y46" s="20">
        <f>('Raw Values'!X39+'Raw Values'!AA39*302)*(0.1^(0.333/('Raw Values'!AE39)))+T46</f>
        <v>44.442319478286358</v>
      </c>
      <c r="Z46" s="15">
        <f>'Raw Values'!V39</f>
        <v>30</v>
      </c>
      <c r="AA46" s="22">
        <f>'Raw Values'!AC39</f>
        <v>0.25</v>
      </c>
      <c r="AB46" s="22">
        <f>'Raw Values'!AE39</f>
        <v>0.3</v>
      </c>
      <c r="AC46" s="23">
        <f>'Raw Values'!AH39</f>
        <v>20</v>
      </c>
      <c r="AD46" s="11">
        <f>'Raw Values'!AG39</f>
        <v>0</v>
      </c>
      <c r="AE46" s="11">
        <f>'Raw Values'!AI39</f>
        <v>2</v>
      </c>
      <c r="AF46" s="17" t="s">
        <v>41</v>
      </c>
      <c r="AG46" s="24">
        <f>'Damage @Range'!Y39</f>
        <v>5523.3255295649424</v>
      </c>
      <c r="AH46" s="24" t="str">
        <f>'Damage @Range(Armor)'!AA39</f>
        <v>N/A</v>
      </c>
    </row>
    <row r="47" spans="1:34" ht="15.75" customHeight="1" x14ac:dyDescent="0.15">
      <c r="A47" s="39"/>
      <c r="B47" s="39"/>
      <c r="C47" s="39"/>
      <c r="D47" s="39"/>
      <c r="E47" s="39"/>
      <c r="F47" s="39"/>
      <c r="G47" s="39"/>
      <c r="H47" s="40"/>
      <c r="I47" s="41"/>
      <c r="J47" s="39"/>
      <c r="K47" s="39"/>
      <c r="L47" s="39"/>
      <c r="M47" s="39"/>
      <c r="N47" s="39"/>
      <c r="O47" s="39"/>
      <c r="P47" s="39"/>
      <c r="Q47" s="39"/>
      <c r="R47" s="42"/>
      <c r="S47" s="42"/>
      <c r="T47" s="41"/>
      <c r="U47" s="41"/>
      <c r="V47" s="41"/>
      <c r="W47" s="43"/>
      <c r="X47" s="44"/>
      <c r="Y47" s="43"/>
      <c r="Z47" s="45"/>
      <c r="AA47" s="46"/>
      <c r="AB47" s="46"/>
      <c r="AC47" s="47"/>
      <c r="AD47" s="39"/>
      <c r="AE47" s="39"/>
      <c r="AF47" s="48"/>
      <c r="AG47" s="49"/>
      <c r="AH47" s="49"/>
    </row>
    <row r="48" spans="1:34" ht="15.75" customHeight="1" x14ac:dyDescent="0.15">
      <c r="A48" s="1" t="s">
        <v>82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50" t="s">
        <v>7</v>
      </c>
      <c r="I48" s="4" t="s">
        <v>54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5" t="s">
        <v>17</v>
      </c>
      <c r="S48" s="5" t="s">
        <v>18</v>
      </c>
      <c r="T48" s="4" t="s">
        <v>19</v>
      </c>
      <c r="U48" s="4" t="s">
        <v>20</v>
      </c>
      <c r="V48" s="4" t="s">
        <v>21</v>
      </c>
      <c r="W48" s="4" t="s">
        <v>22</v>
      </c>
      <c r="X48" s="51" t="s">
        <v>23</v>
      </c>
      <c r="Y48" s="4" t="s">
        <v>24</v>
      </c>
      <c r="Z48" s="4" t="s">
        <v>25</v>
      </c>
      <c r="AA48" s="7" t="s">
        <v>26</v>
      </c>
      <c r="AB48" s="7" t="s">
        <v>27</v>
      </c>
      <c r="AC48" s="8" t="s">
        <v>28</v>
      </c>
      <c r="AD48" s="2" t="s">
        <v>29</v>
      </c>
      <c r="AE48" s="2" t="s">
        <v>30</v>
      </c>
      <c r="AF48" s="2" t="s">
        <v>31</v>
      </c>
      <c r="AG48" s="2" t="s">
        <v>32</v>
      </c>
      <c r="AH48" s="2" t="s">
        <v>33</v>
      </c>
    </row>
    <row r="49" spans="1:34" ht="15.75" customHeight="1" x14ac:dyDescent="0.15">
      <c r="A49" s="9" t="s">
        <v>83</v>
      </c>
      <c r="B49" s="10">
        <f>'Raw Values'!K42</f>
        <v>4750</v>
      </c>
      <c r="C49" s="10">
        <f>'Raw Values'!H42</f>
        <v>100</v>
      </c>
      <c r="D49" s="11">
        <f>'Raw Values'!C42</f>
        <v>115</v>
      </c>
      <c r="E49" s="11">
        <f>'Raw Values'!O42</f>
        <v>1</v>
      </c>
      <c r="F49" s="12">
        <f>SUM('Raw Values'!B42/2)</f>
        <v>0.97499999999999998</v>
      </c>
      <c r="G49" s="52">
        <f>SUM(1-'Raw Values'!D42)</f>
        <v>1.0000000000000009E-2</v>
      </c>
      <c r="H49" s="14">
        <f>'Raw Values'!$E42</f>
        <v>4</v>
      </c>
      <c r="I49" s="15">
        <f>SUM(60/'Raw Values'!F42)</f>
        <v>41.237113402061851</v>
      </c>
      <c r="J49" s="16">
        <f>'Raw Values'!G42</f>
        <v>2.5</v>
      </c>
      <c r="K49" s="11">
        <f>'Raw Values'!J42</f>
        <v>10</v>
      </c>
      <c r="L49" s="17">
        <v>30</v>
      </c>
      <c r="M49" s="11">
        <f>'Raw Values'!I42</f>
        <v>200</v>
      </c>
      <c r="N49" s="16">
        <f>SUM(1-'Raw Values'!Q42)</f>
        <v>0.65</v>
      </c>
      <c r="O49" s="18">
        <f>'Raw Values'!L42</f>
        <v>8192</v>
      </c>
      <c r="P49" s="17" t="s">
        <v>35</v>
      </c>
      <c r="Q49" s="17" t="s">
        <v>45</v>
      </c>
      <c r="R49" s="19">
        <f t="shared" ref="R49:S49" si="36">152.4 / T49</f>
        <v>1.8814814814814815</v>
      </c>
      <c r="S49" s="19">
        <f t="shared" si="36"/>
        <v>2.5065789473684208</v>
      </c>
      <c r="T49" s="15">
        <f>SUM('Raw Values'!S42+'Raw Values'!U42)</f>
        <v>81</v>
      </c>
      <c r="U49" s="15">
        <f>SUM('Raw Values'!S42+'Raw Values'!T42)</f>
        <v>60.800000000000004</v>
      </c>
      <c r="V49" s="15">
        <f>SUM('Raw Values'!S42+'Raw Values'!U42+'Raw Values'!W42)</f>
        <v>257.48</v>
      </c>
      <c r="W49" s="15">
        <f>SUM('Raw Values'!S42 + ('Raw Values'!AB42*2))</f>
        <v>273.2</v>
      </c>
      <c r="X49" s="20">
        <f>('Raw Values'!S42+'Raw Values'!U42+'Raw Values'!X42)</f>
        <v>214.83000200000001</v>
      </c>
      <c r="Y49" s="20">
        <f>('Raw Values'!X42+'Raw Values'!AA42*302)*(0.1^(0.333/('Raw Values'!AE42)))+T49</f>
        <v>105.60509579501711</v>
      </c>
      <c r="Z49" s="15">
        <f>'Raw Values'!V42</f>
        <v>53.85</v>
      </c>
      <c r="AA49" s="22">
        <f>'Raw Values'!AC42</f>
        <v>0.24671000000000001</v>
      </c>
      <c r="AB49" s="22">
        <f>'Raw Values'!AE42</f>
        <v>0.34538999999999997</v>
      </c>
      <c r="AC49" s="23">
        <f>'Raw Values'!AH42</f>
        <v>78</v>
      </c>
      <c r="AD49" s="11">
        <f>'Raw Values'!AG42</f>
        <v>20</v>
      </c>
      <c r="AE49" s="11">
        <f>'Raw Values'!AI42</f>
        <v>15</v>
      </c>
      <c r="AF49" s="17" t="s">
        <v>37</v>
      </c>
      <c r="AG49" s="24">
        <f>'Damage @Range'!Y42</f>
        <v>75920.66204252193</v>
      </c>
      <c r="AH49" s="24">
        <f>'Damage @Range(Armor)'!AA42</f>
        <v>74661.111697472035</v>
      </c>
    </row>
    <row r="50" spans="1:34" ht="15.75" customHeight="1" x14ac:dyDescent="0.15">
      <c r="A50" s="9" t="s">
        <v>84</v>
      </c>
      <c r="B50" s="27" t="s">
        <v>43</v>
      </c>
      <c r="C50" s="27" t="s">
        <v>43</v>
      </c>
      <c r="D50" s="17" t="s">
        <v>43</v>
      </c>
      <c r="E50" s="17" t="s">
        <v>43</v>
      </c>
      <c r="F50" s="28" t="s">
        <v>43</v>
      </c>
      <c r="G50" s="54" t="s">
        <v>43</v>
      </c>
      <c r="H50" s="14" t="s">
        <v>43</v>
      </c>
      <c r="I50" s="38" t="s">
        <v>43</v>
      </c>
      <c r="J50" s="30" t="s">
        <v>43</v>
      </c>
      <c r="K50" s="17" t="s">
        <v>43</v>
      </c>
      <c r="L50" s="17" t="s">
        <v>43</v>
      </c>
      <c r="M50" s="11">
        <f>'Raw Values'!AU42</f>
        <v>100</v>
      </c>
      <c r="N50" s="30" t="s">
        <v>43</v>
      </c>
      <c r="O50" s="31" t="s">
        <v>43</v>
      </c>
      <c r="P50" s="17" t="s">
        <v>43</v>
      </c>
      <c r="Q50" s="17" t="s">
        <v>43</v>
      </c>
      <c r="R50" s="19">
        <f t="shared" ref="R50:S50" si="37">152.4 / T50</f>
        <v>69.272727272727266</v>
      </c>
      <c r="S50" s="19">
        <f t="shared" si="37"/>
        <v>89.64705882352942</v>
      </c>
      <c r="T50" s="15">
        <f>SUM('Raw Values'!AJ42+'Raw Values'!AL42)</f>
        <v>2.2000000000000002</v>
      </c>
      <c r="U50" s="15">
        <f>SUM('Raw Values'!AJ42+'Raw Values'!AK42)</f>
        <v>1.7</v>
      </c>
      <c r="V50" s="15">
        <f>SUM('Raw Values'!AJ42+'Raw Values'!AL42+'Raw Values'!AN42)</f>
        <v>178.67999999999998</v>
      </c>
      <c r="W50" s="15">
        <f>SUM('Raw Values'!AJ42 + ('Raw Values'!AQ42*2))</f>
        <v>273.2</v>
      </c>
      <c r="X50" s="20">
        <f>('Raw Values'!AJ42+'Raw Values'!AL42+'Raw Values'!AO42)</f>
        <v>136.030002</v>
      </c>
      <c r="Y50" s="20">
        <f>('Raw Values'!AO42+'Raw Values'!AP42*302)*(0.1^(0.333/('Raw Values'!AE42)))+T50</f>
        <v>20.015408383519453</v>
      </c>
      <c r="Z50" s="38" t="s">
        <v>43</v>
      </c>
      <c r="AA50" s="33" t="s">
        <v>43</v>
      </c>
      <c r="AB50" s="33" t="s">
        <v>43</v>
      </c>
      <c r="AC50" s="64" t="s">
        <v>43</v>
      </c>
      <c r="AD50" s="17" t="s">
        <v>43</v>
      </c>
      <c r="AE50" s="17" t="s">
        <v>43</v>
      </c>
      <c r="AF50" s="17" t="s">
        <v>43</v>
      </c>
      <c r="AG50" s="34" t="s">
        <v>43</v>
      </c>
      <c r="AH50" s="34" t="s">
        <v>43</v>
      </c>
    </row>
    <row r="51" spans="1:34" ht="15.75" customHeight="1" x14ac:dyDescent="0.15">
      <c r="A51" s="36" t="s">
        <v>85</v>
      </c>
      <c r="B51" s="10">
        <f>'Raw Values'!K43</f>
        <v>5000</v>
      </c>
      <c r="C51" s="10">
        <f>'Raw Values'!H43</f>
        <v>300</v>
      </c>
      <c r="D51" s="11">
        <f>'Raw Values'!C43</f>
        <v>80</v>
      </c>
      <c r="E51" s="11">
        <f>'Raw Values'!O43</f>
        <v>1</v>
      </c>
      <c r="F51" s="12">
        <f>SUM('Raw Values'!B43/2)</f>
        <v>0.82499999999999996</v>
      </c>
      <c r="G51" s="52">
        <f>SUM(1-'Raw Values'!D43)</f>
        <v>2.0000000000000018E-2</v>
      </c>
      <c r="H51" s="14">
        <f>'Raw Values'!$E43</f>
        <v>4</v>
      </c>
      <c r="I51" s="15">
        <f>SUM(60/'Raw Values'!F43)</f>
        <v>240</v>
      </c>
      <c r="J51" s="16">
        <f>'Raw Values'!G43</f>
        <v>2.5</v>
      </c>
      <c r="K51" s="11">
        <f>'Raw Values'!J43</f>
        <v>20</v>
      </c>
      <c r="L51" s="17">
        <v>90</v>
      </c>
      <c r="M51" s="11">
        <f>'Raw Values'!I43</f>
        <v>215</v>
      </c>
      <c r="N51" s="16">
        <f>SUM(1-'Raw Values'!Q43)</f>
        <v>0.5</v>
      </c>
      <c r="O51" s="18">
        <f>'Raw Values'!L43</f>
        <v>8192</v>
      </c>
      <c r="P51" s="17" t="s">
        <v>39</v>
      </c>
      <c r="Q51" s="17" t="s">
        <v>45</v>
      </c>
      <c r="R51" s="19">
        <f t="shared" ref="R51:S51" si="38">152.4 / T51</f>
        <v>5.8390804597701145</v>
      </c>
      <c r="S51" s="19">
        <f t="shared" si="38"/>
        <v>7.7557251908396942</v>
      </c>
      <c r="T51" s="15">
        <f>SUM('Raw Values'!S43+'Raw Values'!U43)</f>
        <v>26.1</v>
      </c>
      <c r="U51" s="15">
        <f>SUM('Raw Values'!S43+'Raw Values'!T43)</f>
        <v>19.650000000000002</v>
      </c>
      <c r="V51" s="15">
        <f>SUM('Raw Values'!S43+'Raw Values'!U43+'Raw Values'!W43)</f>
        <v>176.57999999999998</v>
      </c>
      <c r="W51" s="15">
        <f>SUM('Raw Values'!S43 + ('Raw Values'!AB43*2))</f>
        <v>233.08</v>
      </c>
      <c r="X51" s="20">
        <f>('Raw Values'!S43+'Raw Values'!U43+'Raw Values'!X43)</f>
        <v>179.87000399999999</v>
      </c>
      <c r="Y51" s="20">
        <f>('Raw Values'!X43+'Raw Values'!AA43*302)*(0.1^(0.333/('Raw Values'!AE43)))+T51</f>
        <v>83.037472374757812</v>
      </c>
      <c r="Z51" s="15">
        <f>'Raw Values'!V43</f>
        <v>18.61</v>
      </c>
      <c r="AA51" s="22">
        <f>'Raw Values'!AC43</f>
        <v>0.38880799999999999</v>
      </c>
      <c r="AB51" s="22">
        <f>'Raw Values'!AE43</f>
        <v>0.54433100000000001</v>
      </c>
      <c r="AC51" s="23">
        <f>'Raw Values'!AH43</f>
        <v>30</v>
      </c>
      <c r="AD51" s="11">
        <f>'Raw Values'!AG43</f>
        <v>30</v>
      </c>
      <c r="AE51" s="11">
        <f>'Raw Values'!AI43</f>
        <v>4</v>
      </c>
      <c r="AF51" s="17" t="s">
        <v>41</v>
      </c>
      <c r="AG51" s="24">
        <f>'Damage @Range'!Y43</f>
        <v>28787.003432876914</v>
      </c>
      <c r="AH51" s="24">
        <f>'Damage @Range(Armor)'!AA43</f>
        <v>24025.961023460972</v>
      </c>
    </row>
    <row r="52" spans="1:34" ht="15.75" customHeight="1" x14ac:dyDescent="0.15">
      <c r="A52" s="36" t="s">
        <v>86</v>
      </c>
      <c r="B52" s="27" t="s">
        <v>43</v>
      </c>
      <c r="C52" s="27" t="s">
        <v>43</v>
      </c>
      <c r="D52" s="17" t="s">
        <v>43</v>
      </c>
      <c r="E52" s="17" t="s">
        <v>43</v>
      </c>
      <c r="F52" s="28" t="s">
        <v>43</v>
      </c>
      <c r="G52" s="54" t="s">
        <v>43</v>
      </c>
      <c r="H52" s="14" t="s">
        <v>43</v>
      </c>
      <c r="I52" s="38" t="s">
        <v>43</v>
      </c>
      <c r="J52" s="30" t="s">
        <v>43</v>
      </c>
      <c r="K52" s="17" t="s">
        <v>43</v>
      </c>
      <c r="L52" s="17" t="s">
        <v>43</v>
      </c>
      <c r="M52" s="11">
        <f>'Raw Values'!AU43</f>
        <v>120</v>
      </c>
      <c r="N52" s="30" t="s">
        <v>43</v>
      </c>
      <c r="O52" s="31" t="s">
        <v>43</v>
      </c>
      <c r="P52" s="17" t="s">
        <v>43</v>
      </c>
      <c r="Q52" s="17" t="s">
        <v>43</v>
      </c>
      <c r="R52" s="19">
        <f t="shared" ref="R52:S52" si="39">152.4 / T52</f>
        <v>66.260869565217405</v>
      </c>
      <c r="S52" s="19">
        <f t="shared" si="39"/>
        <v>84.666666666666671</v>
      </c>
      <c r="T52" s="15">
        <f>SUM('Raw Values'!AJ43+'Raw Values'!AL43)</f>
        <v>2.2999999999999998</v>
      </c>
      <c r="U52" s="15">
        <f>SUM('Raw Values'!AJ43+'Raw Values'!AK43)</f>
        <v>1.8</v>
      </c>
      <c r="V52" s="15">
        <f>SUM('Raw Values'!AJ43+'Raw Values'!AL43+'Raw Values'!AN43)</f>
        <v>152.78</v>
      </c>
      <c r="W52" s="15">
        <f>SUM('Raw Values'!AJ43 + ('Raw Values'!AQ43*2))</f>
        <v>233.08</v>
      </c>
      <c r="X52" s="20">
        <f>('Raw Values'!AJ43+'Raw Values'!AL43+'Raw Values'!AO43)</f>
        <v>156.07000400000001</v>
      </c>
      <c r="Y52" s="20">
        <f>('Raw Values'!AO43+'Raw Values'!AP43*302)*(0.1^(0.333/('Raw Values'!AE43)))+T52</f>
        <v>59.2374723747578</v>
      </c>
      <c r="Z52" s="38" t="s">
        <v>43</v>
      </c>
      <c r="AA52" s="33" t="s">
        <v>43</v>
      </c>
      <c r="AB52" s="33" t="s">
        <v>43</v>
      </c>
      <c r="AC52" s="64" t="s">
        <v>43</v>
      </c>
      <c r="AD52" s="17" t="s">
        <v>43</v>
      </c>
      <c r="AE52" s="17" t="s">
        <v>43</v>
      </c>
      <c r="AF52" s="17" t="s">
        <v>43</v>
      </c>
      <c r="AG52" s="34" t="s">
        <v>43</v>
      </c>
      <c r="AH52" s="34" t="s">
        <v>43</v>
      </c>
    </row>
    <row r="53" spans="1:34" ht="15.75" customHeight="1" x14ac:dyDescent="0.15">
      <c r="A53" s="35" t="s">
        <v>87</v>
      </c>
      <c r="B53" s="10">
        <f>'Raw Values'!K44</f>
        <v>5000</v>
      </c>
      <c r="C53" s="10">
        <f>'Raw Values'!H44</f>
        <v>300</v>
      </c>
      <c r="D53" s="11">
        <f>'Raw Values'!C44</f>
        <v>80</v>
      </c>
      <c r="E53" s="11">
        <f>'Raw Values'!O44</f>
        <v>1</v>
      </c>
      <c r="F53" s="12">
        <f>SUM('Raw Values'!B44/2)</f>
        <v>0.82499999999999996</v>
      </c>
      <c r="G53" s="52">
        <f>SUM(1-'Raw Values'!D44)</f>
        <v>2.0000000000000018E-2</v>
      </c>
      <c r="H53" s="37">
        <f>'Raw Values'!$E42</f>
        <v>4</v>
      </c>
      <c r="I53" s="15">
        <f>SUM(60/'Raw Values'!F44)</f>
        <v>240</v>
      </c>
      <c r="J53" s="16">
        <f>'Raw Values'!G44</f>
        <v>2.5</v>
      </c>
      <c r="K53" s="11">
        <f>'Raw Values'!J44</f>
        <v>20</v>
      </c>
      <c r="L53" s="17">
        <v>90</v>
      </c>
      <c r="M53" s="11">
        <f>'Raw Values'!I44</f>
        <v>215</v>
      </c>
      <c r="N53" s="16">
        <f>SUM(1-'Raw Values'!Q44)</f>
        <v>0.65</v>
      </c>
      <c r="O53" s="18">
        <f>'Raw Values'!L44</f>
        <v>8192</v>
      </c>
      <c r="P53" s="17" t="s">
        <v>39</v>
      </c>
      <c r="Q53" s="17" t="s">
        <v>45</v>
      </c>
      <c r="R53" s="19">
        <f t="shared" ref="R53:S53" si="40">152.4 / T53</f>
        <v>5.8390804597701145</v>
      </c>
      <c r="S53" s="19">
        <f t="shared" si="40"/>
        <v>7.7557251908396942</v>
      </c>
      <c r="T53" s="15">
        <f>SUM('Raw Values'!S44+'Raw Values'!U44)</f>
        <v>26.1</v>
      </c>
      <c r="U53" s="15">
        <f>SUM('Raw Values'!S44+'Raw Values'!T44)</f>
        <v>19.650000000000002</v>
      </c>
      <c r="V53" s="15">
        <f>SUM('Raw Values'!S44+'Raw Values'!U44+'Raw Values'!W44)</f>
        <v>176.57999999999998</v>
      </c>
      <c r="W53" s="15">
        <f>SUM('Raw Values'!S44 + ('Raw Values'!AB44*2))</f>
        <v>233.08</v>
      </c>
      <c r="X53" s="20">
        <f>('Raw Values'!S44+'Raw Values'!U44+'Raw Values'!X44)</f>
        <v>179.87000399999999</v>
      </c>
      <c r="Y53" s="20">
        <f>('Raw Values'!X44+'Raw Values'!AA44*302)*(0.1^(0.333/('Raw Values'!AE44)))+T53</f>
        <v>83.037472374757812</v>
      </c>
      <c r="Z53" s="15">
        <f>'Raw Values'!V44</f>
        <v>18.61</v>
      </c>
      <c r="AA53" s="22">
        <f>'Raw Values'!AC44</f>
        <v>0.38880799999999999</v>
      </c>
      <c r="AB53" s="22">
        <f>'Raw Values'!AE44</f>
        <v>0.54433100000000001</v>
      </c>
      <c r="AC53" s="23">
        <f>'Raw Values'!AH44</f>
        <v>31</v>
      </c>
      <c r="AD53" s="11">
        <f>'Raw Values'!AG44</f>
        <v>30</v>
      </c>
      <c r="AE53" s="11">
        <f>'Raw Values'!AI44</f>
        <v>4</v>
      </c>
      <c r="AF53" s="17" t="s">
        <v>41</v>
      </c>
      <c r="AG53" s="24">
        <f>'Damage @Range'!Y44</f>
        <v>28787.003432876914</v>
      </c>
      <c r="AH53" s="24">
        <f>'Damage @Range(Armor)'!AA44</f>
        <v>24025.961023460972</v>
      </c>
    </row>
    <row r="54" spans="1:34" ht="15.75" customHeight="1" x14ac:dyDescent="0.15">
      <c r="A54" s="35" t="s">
        <v>88</v>
      </c>
      <c r="B54" s="27" t="s">
        <v>43</v>
      </c>
      <c r="C54" s="27" t="s">
        <v>43</v>
      </c>
      <c r="D54" s="17" t="s">
        <v>43</v>
      </c>
      <c r="E54" s="17" t="s">
        <v>43</v>
      </c>
      <c r="F54" s="28" t="s">
        <v>43</v>
      </c>
      <c r="G54" s="54" t="s">
        <v>43</v>
      </c>
      <c r="H54" s="14" t="s">
        <v>89</v>
      </c>
      <c r="I54" s="38" t="s">
        <v>43</v>
      </c>
      <c r="J54" s="30" t="s">
        <v>43</v>
      </c>
      <c r="K54" s="17" t="s">
        <v>43</v>
      </c>
      <c r="L54" s="17" t="s">
        <v>43</v>
      </c>
      <c r="M54" s="11">
        <f>'Raw Values'!AU44</f>
        <v>120</v>
      </c>
      <c r="N54" s="30" t="s">
        <v>43</v>
      </c>
      <c r="O54" s="31" t="s">
        <v>43</v>
      </c>
      <c r="P54" s="17" t="s">
        <v>43</v>
      </c>
      <c r="Q54" s="17" t="s">
        <v>43</v>
      </c>
      <c r="R54" s="19">
        <f t="shared" ref="R54:S54" si="41">152.4 / T54</f>
        <v>66.260869565217405</v>
      </c>
      <c r="S54" s="19">
        <f t="shared" si="41"/>
        <v>84.666666666666671</v>
      </c>
      <c r="T54" s="15">
        <f>SUM('Raw Values'!AJ44+'Raw Values'!AL44)</f>
        <v>2.2999999999999998</v>
      </c>
      <c r="U54" s="15">
        <f>SUM('Raw Values'!AJ44+'Raw Values'!AK44)</f>
        <v>1.8</v>
      </c>
      <c r="V54" s="15">
        <f>SUM('Raw Values'!AJ44+'Raw Values'!AL44+'Raw Values'!AN44)</f>
        <v>152.78</v>
      </c>
      <c r="W54" s="15">
        <f>SUM('Raw Values'!AJ44 + ('Raw Values'!AQ44*2))</f>
        <v>233.08</v>
      </c>
      <c r="X54" s="20">
        <f>('Raw Values'!AJ44+'Raw Values'!AL44+'Raw Values'!AO44)</f>
        <v>156.07000400000001</v>
      </c>
      <c r="Y54" s="20">
        <f>('Raw Values'!AO44+'Raw Values'!AP44*302)*(0.1^(0.333/('Raw Values'!AE44)))+T54</f>
        <v>59.2374723747578</v>
      </c>
      <c r="Z54" s="38" t="s">
        <v>43</v>
      </c>
      <c r="AA54" s="33" t="s">
        <v>43</v>
      </c>
      <c r="AB54" s="33" t="s">
        <v>43</v>
      </c>
      <c r="AC54" s="64" t="s">
        <v>43</v>
      </c>
      <c r="AD54" s="17" t="s">
        <v>43</v>
      </c>
      <c r="AE54" s="17" t="s">
        <v>43</v>
      </c>
      <c r="AF54" s="17" t="s">
        <v>43</v>
      </c>
      <c r="AG54" s="34" t="s">
        <v>43</v>
      </c>
      <c r="AH54" s="34" t="s">
        <v>43</v>
      </c>
    </row>
    <row r="55" spans="1:34" ht="15.75" customHeight="1" x14ac:dyDescent="0.15">
      <c r="A55" s="9" t="s">
        <v>90</v>
      </c>
      <c r="B55" s="10">
        <f>'Raw Values'!K45</f>
        <v>1700</v>
      </c>
      <c r="C55" s="10">
        <f>'Raw Values'!H45</f>
        <v>300</v>
      </c>
      <c r="D55" s="11">
        <f>'Raw Values'!C45</f>
        <v>88</v>
      </c>
      <c r="E55" s="11">
        <f>'Raw Values'!O45</f>
        <v>1</v>
      </c>
      <c r="F55" s="12">
        <f>SUM('Raw Values'!B45/2)</f>
        <v>0.85</v>
      </c>
      <c r="G55" s="52">
        <f>SUM(1-'Raw Values'!D45)</f>
        <v>2.0000000000000018E-2</v>
      </c>
      <c r="H55" s="14">
        <f>'Raw Values'!$E43</f>
        <v>4</v>
      </c>
      <c r="I55" s="15">
        <f>SUM(60/'Raw Values'!F45)</f>
        <v>48</v>
      </c>
      <c r="J55" s="16">
        <f>'Raw Values'!G45</f>
        <v>2.5</v>
      </c>
      <c r="K55" s="11">
        <f>'Raw Values'!J45</f>
        <v>10</v>
      </c>
      <c r="L55" s="17">
        <v>90</v>
      </c>
      <c r="M55" s="11">
        <f>'Raw Values'!I45</f>
        <v>230</v>
      </c>
      <c r="N55" s="16">
        <f>SUM(1-'Raw Values'!Q45)</f>
        <v>0.65</v>
      </c>
      <c r="O55" s="18">
        <f>'Raw Values'!L45</f>
        <v>8192</v>
      </c>
      <c r="P55" s="17" t="s">
        <v>35</v>
      </c>
      <c r="Q55" s="17" t="s">
        <v>45</v>
      </c>
      <c r="R55" s="19">
        <f t="shared" ref="R55:S55" si="42">152.4 / T55</f>
        <v>4.7654784240150097</v>
      </c>
      <c r="S55" s="19">
        <f t="shared" si="42"/>
        <v>6.3341645885286777</v>
      </c>
      <c r="T55" s="15">
        <f>SUM('Raw Values'!S45+'Raw Values'!U45)</f>
        <v>31.98</v>
      </c>
      <c r="U55" s="15">
        <f>SUM('Raw Values'!S45+'Raw Values'!T45)</f>
        <v>24.060000000000002</v>
      </c>
      <c r="V55" s="15">
        <f>SUM('Raw Values'!S45+'Raw Values'!U45+'Raw Values'!W45)</f>
        <v>155.43</v>
      </c>
      <c r="W55" s="15">
        <f>SUM('Raw Values'!S45 + ('Raw Values'!AB45*2))</f>
        <v>191.26</v>
      </c>
      <c r="X55" s="20">
        <f>('Raw Values'!S45+'Raw Values'!U45+'Raw Values'!X45)</f>
        <v>37.700000000000003</v>
      </c>
      <c r="Y55" s="20">
        <f>('Raw Values'!X45+'Raw Values'!AA45*302)*(0.1^(0.333/('Raw Values'!AE45)))+T55</f>
        <v>32.30035099134237</v>
      </c>
      <c r="Z55" s="15">
        <f>'Raw Values'!V45</f>
        <v>22.92</v>
      </c>
      <c r="AA55" s="22">
        <f>'Raw Values'!AC45</f>
        <v>5.5782999999999999E-2</v>
      </c>
      <c r="AB55" s="22">
        <f>'Raw Values'!AE45</f>
        <v>0.142096</v>
      </c>
      <c r="AC55" s="23">
        <f>'Raw Values'!AH45</f>
        <v>33</v>
      </c>
      <c r="AD55" s="11">
        <f>'Raw Values'!AG45</f>
        <v>20</v>
      </c>
      <c r="AE55" s="11">
        <f>'Raw Values'!AI45</f>
        <v>15</v>
      </c>
      <c r="AF55" s="17" t="s">
        <v>37</v>
      </c>
      <c r="AG55" s="24">
        <f>'Damage @Range'!Y45</f>
        <v>31145.85015342692</v>
      </c>
      <c r="AH55" s="24">
        <f>'Damage @Range(Armor)'!AA45</f>
        <v>27123.643452524986</v>
      </c>
    </row>
    <row r="56" spans="1:34" ht="15.75" customHeight="1" x14ac:dyDescent="0.15">
      <c r="A56" s="65" t="s">
        <v>91</v>
      </c>
      <c r="B56" s="56" t="s">
        <v>43</v>
      </c>
      <c r="C56" s="56" t="s">
        <v>43</v>
      </c>
      <c r="D56" s="56" t="s">
        <v>43</v>
      </c>
      <c r="E56" s="57" t="s">
        <v>43</v>
      </c>
      <c r="F56" s="58" t="s">
        <v>43</v>
      </c>
      <c r="G56" s="59" t="s">
        <v>43</v>
      </c>
      <c r="H56" s="60" t="s">
        <v>43</v>
      </c>
      <c r="I56" s="56" t="s">
        <v>43</v>
      </c>
      <c r="J56" s="56" t="s">
        <v>43</v>
      </c>
      <c r="K56" s="56" t="s">
        <v>43</v>
      </c>
      <c r="L56" s="56" t="s">
        <v>43</v>
      </c>
      <c r="M56" s="56" t="s">
        <v>43</v>
      </c>
      <c r="N56" s="57" t="s">
        <v>43</v>
      </c>
      <c r="O56" s="56" t="s">
        <v>43</v>
      </c>
      <c r="P56" s="56" t="s">
        <v>43</v>
      </c>
      <c r="Q56" s="56" t="s">
        <v>43</v>
      </c>
      <c r="R56" s="19">
        <f t="shared" ref="R56:S56" si="43">152.4 / T56</f>
        <v>47.182662538699695</v>
      </c>
      <c r="S56" s="19">
        <f t="shared" si="43"/>
        <v>50.297029702970299</v>
      </c>
      <c r="T56" s="15">
        <f>SUM('Raw Values'!AJ45+'Raw Values'!AL45)</f>
        <v>3.23</v>
      </c>
      <c r="U56" s="15">
        <f>SUM('Raw Values'!AJ45+'Raw Values'!AK45)</f>
        <v>3.03</v>
      </c>
      <c r="V56" s="15">
        <f>SUM('Raw Values'!AJ45+'Raw Values'!AL45+'Raw Values'!AN45)</f>
        <v>126.68</v>
      </c>
      <c r="W56" s="15">
        <f>SUM('Raw Values'!AJ45 + ('Raw Values'!AQ45*2))</f>
        <v>191.20999999999998</v>
      </c>
      <c r="X56" s="20">
        <f>('Raw Values'!AJ45+'Raw Values'!AL45+'Raw Values'!AO45)</f>
        <v>8.9499999999999993</v>
      </c>
      <c r="Y56" s="20">
        <f>('Raw Values'!AO45+'Raw Values'!AP45*302)*(0.1^(0.333/('Raw Values'!AE45)))+T56</f>
        <v>3.5503509913423712</v>
      </c>
      <c r="Z56" s="57" t="s">
        <v>43</v>
      </c>
      <c r="AA56" s="57" t="s">
        <v>43</v>
      </c>
      <c r="AB56" s="57" t="s">
        <v>43</v>
      </c>
      <c r="AC56" s="56" t="s">
        <v>43</v>
      </c>
      <c r="AD56" s="56" t="s">
        <v>43</v>
      </c>
      <c r="AE56" s="56" t="s">
        <v>43</v>
      </c>
      <c r="AF56" s="56" t="s">
        <v>43</v>
      </c>
      <c r="AG56" s="57" t="s">
        <v>43</v>
      </c>
      <c r="AH56" s="57" t="s">
        <v>43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3" width="11.6640625" customWidth="1"/>
    <col min="4" max="4" width="4.5" customWidth="1"/>
    <col min="5" max="19" width="11.6640625" customWidth="1"/>
    <col min="20" max="20" width="4.5" customWidth="1"/>
    <col min="21" max="23" width="11.6640625" customWidth="1"/>
    <col min="24" max="24" width="4.5" customWidth="1"/>
    <col min="25" max="29" width="11.6640625" customWidth="1"/>
  </cols>
  <sheetData>
    <row r="1" spans="1:29" ht="15.75" customHeight="1" x14ac:dyDescent="0.15">
      <c r="A1" s="1" t="s">
        <v>0</v>
      </c>
      <c r="B1" s="2" t="s">
        <v>3</v>
      </c>
      <c r="C1" s="4" t="s">
        <v>93</v>
      </c>
      <c r="D1" s="204"/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174"/>
      <c r="U1" s="205" t="s">
        <v>254</v>
      </c>
      <c r="V1" s="205" t="s">
        <v>255</v>
      </c>
      <c r="W1" s="205" t="s">
        <v>256</v>
      </c>
      <c r="X1" s="174"/>
      <c r="Y1" s="206" t="s">
        <v>257</v>
      </c>
      <c r="Z1" s="4" t="s">
        <v>258</v>
      </c>
      <c r="AA1" s="4" t="s">
        <v>259</v>
      </c>
      <c r="AB1" s="4" t="s">
        <v>260</v>
      </c>
      <c r="AC1" s="4" t="s">
        <v>261</v>
      </c>
    </row>
    <row r="2" spans="1:29" ht="15.75" customHeight="1" x14ac:dyDescent="0.15">
      <c r="A2" s="9" t="s">
        <v>142</v>
      </c>
      <c r="B2" s="11">
        <f>'Raw Values'!C2</f>
        <v>53</v>
      </c>
      <c r="C2" s="15">
        <f>'Raw Values'!D2</f>
        <v>0.85</v>
      </c>
      <c r="D2" s="176"/>
      <c r="E2" s="15">
        <f>SUM('Raw Values'!$C2 * ('Raw Values'!$D2 ^ (100/500)))</f>
        <v>51.304995605131516</v>
      </c>
      <c r="F2" s="15">
        <f>SUM('Raw Values'!$C2 * ('Raw Values'!$D2 ^ (200/500)))</f>
        <v>49.664199510237054</v>
      </c>
      <c r="G2" s="15">
        <f>SUM('Raw Values'!$C2 * ('Raw Values'!$D2 ^ (300/500)))</f>
        <v>48.075878068020501</v>
      </c>
      <c r="H2" s="15">
        <f>SUM('Raw Values'!$C2 * ('Raw Values'!$D2 ^ (400/500)))</f>
        <v>46.538353075332644</v>
      </c>
      <c r="I2" s="15">
        <f>SUM('Raw Values'!$C2 * ('Raw Values'!$D2 ^ (500/500)))</f>
        <v>45.05</v>
      </c>
      <c r="J2" s="15">
        <f>SUM('Raw Values'!$C2 * ('Raw Values'!$D2 ^ (600/500)))</f>
        <v>43.609246264361786</v>
      </c>
      <c r="K2" s="15">
        <f>SUM('Raw Values'!$C2 * ('Raw Values'!$D2 ^ (700/500)))</f>
        <v>42.21456958370149</v>
      </c>
      <c r="L2" s="15">
        <f>SUM('Raw Values'!$C2 * ('Raw Values'!$D2 ^ (800/500)))</f>
        <v>40.864496357817423</v>
      </c>
      <c r="M2" s="15">
        <f>SUM('Raw Values'!$C2 * ('Raw Values'!$D2 ^ (900/500)))</f>
        <v>39.557600114032752</v>
      </c>
      <c r="N2" s="15">
        <f>SUM('Raw Values'!$C2 * ('Raw Values'!$D2 ^ (1000/500)))</f>
        <v>38.292499999999997</v>
      </c>
      <c r="O2" s="15">
        <f>SUM('Raw Values'!$C2 * ('Raw Values'!$D2 ^ (1100/500)))</f>
        <v>37.06785932470752</v>
      </c>
      <c r="P2" s="15">
        <f>SUM('Raw Values'!$C2 * ('Raw Values'!$D2 ^ (1200/500)))</f>
        <v>35.882384146146265</v>
      </c>
      <c r="Q2" s="15">
        <f>SUM('Raw Values'!$C2 * ('Raw Values'!$D2 ^ (1300/500)))</f>
        <v>34.734821904144809</v>
      </c>
      <c r="R2" s="15">
        <f>SUM('Raw Values'!$C2 * ('Raw Values'!$D2 ^ (1400/500)))</f>
        <v>33.623960096927831</v>
      </c>
      <c r="S2" s="15">
        <f>SUM('Raw Values'!$C2 * ('Raw Values'!$D2 ^ (1500/500)))</f>
        <v>32.548624999999994</v>
      </c>
      <c r="T2" s="176"/>
      <c r="U2" s="15">
        <f>SUM('Raw Values'!$C2 * ('Raw Values'!$D2 ^ (2000/500)))</f>
        <v>27.666331249999995</v>
      </c>
      <c r="V2" s="15">
        <f>SUM('Raw Values'!$C2 * ('Raw Values'!$D2 ^ (2500/500)))</f>
        <v>23.516381562499994</v>
      </c>
      <c r="W2" s="15">
        <f>SUM('Raw Values'!$C2 * ('Raw Values'!$D2 ^ (3000/500)))</f>
        <v>19.988924328124995</v>
      </c>
      <c r="X2" s="176"/>
      <c r="Y2" s="207">
        <f>SUM(500*(LOG(100/(B2*'Raw Values'!$E2)))/LOG('Raw Values'!$D2))</f>
        <v>2233.8883320960222</v>
      </c>
      <c r="Z2" s="15">
        <f>SUM(E2 * 1/'Raw Values'!$F2)</f>
        <v>228.0222026894734</v>
      </c>
      <c r="AA2" s="15">
        <f>SUM(G2 * 1/'Raw Values'!$F2)</f>
        <v>213.67056919120222</v>
      </c>
      <c r="AB2" s="15">
        <f>SUM(J2 * 1/'Raw Values'!$F2)</f>
        <v>193.81887228605237</v>
      </c>
      <c r="AC2" s="15">
        <f>SUM(P2 * 1/'Raw Values'!$F2)</f>
        <v>159.47726287176118</v>
      </c>
    </row>
    <row r="3" spans="1:29" ht="15.75" customHeight="1" x14ac:dyDescent="0.15">
      <c r="A3" s="9" t="s">
        <v>144</v>
      </c>
      <c r="B3" s="11">
        <f>'Raw Values'!C3</f>
        <v>86</v>
      </c>
      <c r="C3" s="15">
        <f>'Raw Values'!D3</f>
        <v>0.94</v>
      </c>
      <c r="D3" s="176"/>
      <c r="E3" s="15">
        <f>SUM('Raw Values'!$C3 * ('Raw Values'!$D3 ^ (100/500)))</f>
        <v>84.942301108836645</v>
      </c>
      <c r="F3" s="15">
        <f>SUM('Raw Values'!$C3 * ('Raw Values'!$D3 ^ (200/500)))</f>
        <v>83.89761067051478</v>
      </c>
      <c r="G3" s="15">
        <f>SUM('Raw Values'!$C3 * ('Raw Values'!$D3 ^ (300/500)))</f>
        <v>82.865768696358302</v>
      </c>
      <c r="H3" s="15">
        <f>SUM('Raw Values'!$C3 * ('Raw Values'!$D3 ^ (400/500)))</f>
        <v>81.846617165363682</v>
      </c>
      <c r="I3" s="15">
        <f>SUM('Raw Values'!$C3 * ('Raw Values'!$D3 ^ (500/500)))</f>
        <v>80.839999999999989</v>
      </c>
      <c r="J3" s="15">
        <f>SUM('Raw Values'!$C3 * ('Raw Values'!$D3 ^ (600/500)))</f>
        <v>79.845763042306444</v>
      </c>
      <c r="K3" s="15">
        <f>SUM('Raw Values'!$C3 * ('Raw Values'!$D3 ^ (700/500)))</f>
        <v>78.863754030283886</v>
      </c>
      <c r="L3" s="15">
        <f>SUM('Raw Values'!$C3 * ('Raw Values'!$D3 ^ (800/500)))</f>
        <v>77.893822574576802</v>
      </c>
      <c r="M3" s="15">
        <f>SUM('Raw Values'!$C3 * ('Raw Values'!$D3 ^ (900/500)))</f>
        <v>76.935820135441858</v>
      </c>
      <c r="N3" s="15">
        <f>SUM('Raw Values'!$C3 * ('Raw Values'!$D3 ^ (1000/500)))</f>
        <v>75.989599999999996</v>
      </c>
      <c r="O3" s="15">
        <f>SUM('Raw Values'!$C3 * ('Raw Values'!$D3 ^ (1100/500)))</f>
        <v>75.05501725976805</v>
      </c>
      <c r="P3" s="15">
        <f>SUM('Raw Values'!$C3 * ('Raw Values'!$D3 ^ (1200/500)))</f>
        <v>74.131928788466851</v>
      </c>
      <c r="Q3" s="15">
        <f>SUM('Raw Values'!$C3 * ('Raw Values'!$D3 ^ (1300/500)))</f>
        <v>73.220193220102175</v>
      </c>
      <c r="R3" s="15">
        <f>SUM('Raw Values'!$C3 * ('Raw Values'!$D3 ^ (1400/500)))</f>
        <v>72.319670927315329</v>
      </c>
      <c r="S3" s="15">
        <f>SUM('Raw Values'!$C3 * ('Raw Values'!$D3 ^ (1500/500)))</f>
        <v>71.430223999999995</v>
      </c>
      <c r="T3" s="176"/>
      <c r="U3" s="15">
        <f>SUM('Raw Values'!$C3 * ('Raw Values'!$D3 ^ (2000/500)))</f>
        <v>67.144410559999997</v>
      </c>
      <c r="V3" s="15">
        <f>SUM('Raw Values'!$C3 * ('Raw Values'!$D3 ^ (2500/500)))</f>
        <v>63.115745926399988</v>
      </c>
      <c r="W3" s="15">
        <f>SUM('Raw Values'!$C3 * ('Raw Values'!$D3 ^ (3000/500)))</f>
        <v>59.328801170815993</v>
      </c>
      <c r="X3" s="176"/>
      <c r="Y3" s="207">
        <f>SUM(500*(LOG(100/(B3*'Raw Values'!$E3)))/LOG('Raw Values'!$D3))</f>
        <v>9983.542709590045</v>
      </c>
      <c r="Z3" s="15">
        <f>SUM(E3 * 1/'Raw Values'!$F3)</f>
        <v>169.88460221767329</v>
      </c>
      <c r="AA3" s="15">
        <f>SUM(G3 * 1/'Raw Values'!$F3)</f>
        <v>165.7315373927166</v>
      </c>
      <c r="AB3" s="15">
        <f>SUM(J3 * 1/'Raw Values'!$F3)</f>
        <v>159.69152608461289</v>
      </c>
      <c r="AC3" s="15">
        <f>SUM(P3 * 1/'Raw Values'!$F3)</f>
        <v>148.2638575769337</v>
      </c>
    </row>
    <row r="4" spans="1:29" ht="15.75" customHeight="1" x14ac:dyDescent="0.15">
      <c r="A4" s="9" t="s">
        <v>145</v>
      </c>
      <c r="B4" s="11">
        <f>'Raw Values'!C4</f>
        <v>38</v>
      </c>
      <c r="C4" s="15">
        <f>'Raw Values'!D4</f>
        <v>0.79</v>
      </c>
      <c r="D4" s="176"/>
      <c r="E4" s="15">
        <f>SUM('Raw Values'!$C4 * ('Raw Values'!$D4 ^ (100/500)))</f>
        <v>36.250083800000802</v>
      </c>
      <c r="F4" s="15">
        <f>SUM('Raw Values'!$C4 * ('Raw Values'!$D4 ^ (200/500)))</f>
        <v>34.580751987028435</v>
      </c>
      <c r="G4" s="15">
        <f>SUM('Raw Values'!$C4 * ('Raw Values'!$D4 ^ (300/500)))</f>
        <v>32.988293615705921</v>
      </c>
      <c r="H4" s="15">
        <f>SUM('Raw Values'!$C4 * ('Raw Values'!$D4 ^ (400/500)))</f>
        <v>31.469168631272925</v>
      </c>
      <c r="I4" s="15">
        <f>SUM('Raw Values'!$C4 * ('Raw Values'!$D4 ^ (500/500)))</f>
        <v>30.020000000000003</v>
      </c>
      <c r="J4" s="15">
        <f>SUM('Raw Values'!$C4 * ('Raw Values'!$D4 ^ (600/500)))</f>
        <v>28.637566202000635</v>
      </c>
      <c r="K4" s="15">
        <f>SUM('Raw Values'!$C4 * ('Raw Values'!$D4 ^ (700/500)))</f>
        <v>27.318794069752464</v>
      </c>
      <c r="L4" s="15">
        <f>SUM('Raw Values'!$C4 * ('Raw Values'!$D4 ^ (800/500)))</f>
        <v>26.060751956407682</v>
      </c>
      <c r="M4" s="15">
        <f>SUM('Raw Values'!$C4 * ('Raw Values'!$D4 ^ (900/500)))</f>
        <v>24.860643218705611</v>
      </c>
      <c r="N4" s="15">
        <f>SUM('Raw Values'!$C4 * ('Raw Values'!$D4 ^ (1000/500)))</f>
        <v>23.715800000000005</v>
      </c>
      <c r="O4" s="15">
        <f>SUM('Raw Values'!$C4 * ('Raw Values'!$D4 ^ (1100/500)))</f>
        <v>22.623677299580503</v>
      </c>
      <c r="P4" s="15">
        <f>SUM('Raw Values'!$C4 * ('Raw Values'!$D4 ^ (1200/500)))</f>
        <v>21.581847315104451</v>
      </c>
      <c r="Q4" s="15">
        <f>SUM('Raw Values'!$C4 * ('Raw Values'!$D4 ^ (1300/500)))</f>
        <v>20.587994045562066</v>
      </c>
      <c r="R4" s="15">
        <f>SUM('Raw Values'!$C4 * ('Raw Values'!$D4 ^ (1400/500)))</f>
        <v>19.639908142777433</v>
      </c>
      <c r="S4" s="15">
        <f>SUM('Raw Values'!$C4 * ('Raw Values'!$D4 ^ (1500/500)))</f>
        <v>18.735482000000005</v>
      </c>
      <c r="T4" s="176"/>
      <c r="U4" s="15">
        <f>SUM('Raw Values'!$C4 * ('Raw Values'!$D4 ^ (2000/500)))</f>
        <v>14.801030780000005</v>
      </c>
      <c r="V4" s="15">
        <f>SUM('Raw Values'!$C4 * ('Raw Values'!$D4 ^ (2500/500)))</f>
        <v>11.692814316200003</v>
      </c>
      <c r="W4" s="15">
        <f>SUM('Raw Values'!$C4 * ('Raw Values'!$D4 ^ (3000/500)))</f>
        <v>9.2373233097980059</v>
      </c>
      <c r="X4" s="176"/>
      <c r="Y4" s="207">
        <f>SUM(500*(LOG(100/(B4*'Raw Values'!$E4)))/LOG('Raw Values'!$D4))</f>
        <v>888.14311440871359</v>
      </c>
      <c r="Z4" s="15">
        <f>SUM(E4 * 1/'Raw Values'!$F4)</f>
        <v>302.08403166667335</v>
      </c>
      <c r="AA4" s="15">
        <f>SUM(G4 * 1/'Raw Values'!$F4)</f>
        <v>274.90244679754937</v>
      </c>
      <c r="AB4" s="15">
        <f>SUM(J4 * 1/'Raw Values'!$F4)</f>
        <v>238.64638501667196</v>
      </c>
      <c r="AC4" s="15">
        <f>SUM(P4 * 1/'Raw Values'!$F4)</f>
        <v>179.84872762587042</v>
      </c>
    </row>
    <row r="5" spans="1:29" ht="15.75" customHeight="1" x14ac:dyDescent="0.15">
      <c r="A5" s="35" t="s">
        <v>146</v>
      </c>
      <c r="B5" s="11">
        <f>'Raw Values'!C5</f>
        <v>32</v>
      </c>
      <c r="C5" s="15">
        <f>'Raw Values'!D5</f>
        <v>0.81</v>
      </c>
      <c r="D5" s="176"/>
      <c r="E5" s="15">
        <f>SUM('Raw Values'!$C5 * ('Raw Values'!$D5 ^ (100/500)))</f>
        <v>30.679408496453846</v>
      </c>
      <c r="F5" s="15">
        <f>SUM('Raw Values'!$C5 * ('Raw Values'!$D5 ^ (200/500)))</f>
        <v>29.41331580288389</v>
      </c>
      <c r="G5" s="15">
        <f>SUM('Raw Values'!$C5 * ('Raw Values'!$D5 ^ (300/500)))</f>
        <v>28.199472835996133</v>
      </c>
      <c r="H5" s="15">
        <f>SUM('Raw Values'!$C5 * ('Raw Values'!$D5 ^ (400/500)))</f>
        <v>27.035723328755601</v>
      </c>
      <c r="I5" s="15">
        <f>SUM('Raw Values'!$C5 * ('Raw Values'!$D5 ^ (500/500)))</f>
        <v>25.92</v>
      </c>
      <c r="J5" s="15">
        <f>SUM('Raw Values'!$C5 * ('Raw Values'!$D5 ^ (600/500)))</f>
        <v>24.850320882127619</v>
      </c>
      <c r="K5" s="15">
        <f>SUM('Raw Values'!$C5 * ('Raw Values'!$D5 ^ (700/500)))</f>
        <v>23.824785800335953</v>
      </c>
      <c r="L5" s="15">
        <f>SUM('Raw Values'!$C5 * ('Raw Values'!$D5 ^ (800/500)))</f>
        <v>22.84157299715687</v>
      </c>
      <c r="M5" s="15">
        <f>SUM('Raw Values'!$C5 * ('Raw Values'!$D5 ^ (900/500)))</f>
        <v>21.898935896292038</v>
      </c>
      <c r="N5" s="15">
        <f>SUM('Raw Values'!$C5 * ('Raw Values'!$D5 ^ (1000/500)))</f>
        <v>20.995200000000004</v>
      </c>
      <c r="O5" s="15">
        <f>SUM('Raw Values'!$C5 * ('Raw Values'!$D5 ^ (1100/500)))</f>
        <v>20.128759914523371</v>
      </c>
      <c r="P5" s="15">
        <f>SUM('Raw Values'!$C5 * ('Raw Values'!$D5 ^ (1200/500)))</f>
        <v>19.298076498272124</v>
      </c>
      <c r="Q5" s="15">
        <f>SUM('Raw Values'!$C5 * ('Raw Values'!$D5 ^ (1300/500)))</f>
        <v>18.501674127697065</v>
      </c>
      <c r="R5" s="15">
        <f>SUM('Raw Values'!$C5 * ('Raw Values'!$D5 ^ (1400/500)))</f>
        <v>17.738138075996552</v>
      </c>
      <c r="S5" s="15">
        <f>SUM('Raw Values'!$C5 * ('Raw Values'!$D5 ^ (1500/500)))</f>
        <v>17.006112000000005</v>
      </c>
      <c r="T5" s="176"/>
      <c r="U5" s="15">
        <f>SUM('Raw Values'!$C5 * ('Raw Values'!$D5 ^ (2000/500)))</f>
        <v>13.774950720000005</v>
      </c>
      <c r="V5" s="15">
        <f>SUM('Raw Values'!$C5 * ('Raw Values'!$D5 ^ (2500/500)))</f>
        <v>11.157710083200005</v>
      </c>
      <c r="W5" s="15">
        <f>SUM('Raw Values'!$C5 * ('Raw Values'!$D5 ^ (3000/500)))</f>
        <v>9.0377451673920053</v>
      </c>
      <c r="X5" s="176"/>
      <c r="Y5" s="207">
        <f>SUM(500*(LOG(100/(B5*'Raw Values'!$E5)))/LOG('Raw Values'!$D5))</f>
        <v>585.75092478960562</v>
      </c>
      <c r="Z5" s="15">
        <f>SUM(E5 * 1/'Raw Values'!$F5)</f>
        <v>204.52938997635897</v>
      </c>
      <c r="AA5" s="15">
        <f>SUM(G5 * 1/'Raw Values'!$F5)</f>
        <v>187.99648557330755</v>
      </c>
      <c r="AB5" s="15">
        <f>SUM(J5 * 1/'Raw Values'!$F5)</f>
        <v>165.66880588085081</v>
      </c>
      <c r="AC5" s="15">
        <f>SUM(P5 * 1/'Raw Values'!$F5)</f>
        <v>128.65384332181418</v>
      </c>
    </row>
    <row r="6" spans="1:29" ht="15.75" customHeight="1" x14ac:dyDescent="0.15">
      <c r="A6" s="36" t="s">
        <v>147</v>
      </c>
      <c r="B6" s="11">
        <f>'Raw Values'!C6</f>
        <v>30</v>
      </c>
      <c r="C6" s="15">
        <f>'Raw Values'!D6</f>
        <v>0.85</v>
      </c>
      <c r="D6" s="176"/>
      <c r="E6" s="15">
        <f>SUM('Raw Values'!$C6 * ('Raw Values'!$D6 ^ (100/500)))</f>
        <v>29.040563550074442</v>
      </c>
      <c r="F6" s="15">
        <f>SUM('Raw Values'!$C6 * ('Raw Values'!$D6 ^ (200/500)))</f>
        <v>28.111811043530405</v>
      </c>
      <c r="G6" s="15">
        <f>SUM('Raw Values'!$C6 * ('Raw Values'!$D6 ^ (300/500)))</f>
        <v>27.212761170577643</v>
      </c>
      <c r="H6" s="15">
        <f>SUM('Raw Values'!$C6 * ('Raw Values'!$D6 ^ (400/500)))</f>
        <v>26.342464004905271</v>
      </c>
      <c r="I6" s="15">
        <f>SUM('Raw Values'!$C6 * ('Raw Values'!$D6 ^ (500/500)))</f>
        <v>25.5</v>
      </c>
      <c r="J6" s="15">
        <f>SUM('Raw Values'!$C6 * ('Raw Values'!$D6 ^ (600/500)))</f>
        <v>24.684479017563273</v>
      </c>
      <c r="K6" s="15">
        <f>SUM('Raw Values'!$C6 * ('Raw Values'!$D6 ^ (700/500)))</f>
        <v>23.895039387000843</v>
      </c>
      <c r="L6" s="15">
        <f>SUM('Raw Values'!$C6 * ('Raw Values'!$D6 ^ (800/500)))</f>
        <v>23.130846994990996</v>
      </c>
      <c r="M6" s="15">
        <f>SUM('Raw Values'!$C6 * ('Raw Values'!$D6 ^ (900/500)))</f>
        <v>22.391094404169479</v>
      </c>
      <c r="N6" s="15">
        <f>SUM('Raw Values'!$C6 * ('Raw Values'!$D6 ^ (1000/500)))</f>
        <v>21.674999999999997</v>
      </c>
      <c r="O6" s="15">
        <f>SUM('Raw Values'!$C6 * ('Raw Values'!$D6 ^ (1100/500)))</f>
        <v>20.981807164928782</v>
      </c>
      <c r="P6" s="15">
        <f>SUM('Raw Values'!$C6 * ('Raw Values'!$D6 ^ (1200/500)))</f>
        <v>20.310783478950718</v>
      </c>
      <c r="Q6" s="15">
        <f>SUM('Raw Values'!$C6 * ('Raw Values'!$D6 ^ (1300/500)))</f>
        <v>19.661219945742346</v>
      </c>
      <c r="R6" s="15">
        <f>SUM('Raw Values'!$C6 * ('Raw Values'!$D6 ^ (1400/500)))</f>
        <v>19.032430243544056</v>
      </c>
      <c r="S6" s="15">
        <f>SUM('Raw Values'!$C6 * ('Raw Values'!$D6 ^ (1500/500)))</f>
        <v>18.423749999999998</v>
      </c>
      <c r="T6" s="176"/>
      <c r="U6" s="15">
        <f>SUM('Raw Values'!$C6 * ('Raw Values'!$D6 ^ (2000/500)))</f>
        <v>15.660187499999997</v>
      </c>
      <c r="V6" s="15">
        <f>SUM('Raw Values'!$C6 * ('Raw Values'!$D6 ^ (2500/500)))</f>
        <v>13.311159374999997</v>
      </c>
      <c r="W6" s="15">
        <f>SUM('Raw Values'!$C6 * ('Raw Values'!$D6 ^ (3000/500)))</f>
        <v>11.314485468749996</v>
      </c>
      <c r="X6" s="176"/>
      <c r="Y6" s="207">
        <f>SUM(500*(LOG(100/(B6*'Raw Values'!$E6)))/LOG('Raw Values'!$D6))</f>
        <v>560.92406391481541</v>
      </c>
      <c r="Z6" s="15">
        <f>SUM(E6 * 1/'Raw Values'!$F6)</f>
        <v>193.60375700049627</v>
      </c>
      <c r="AA6" s="15">
        <f>SUM(G6 * 1/'Raw Values'!$F6)</f>
        <v>181.41840780385095</v>
      </c>
      <c r="AB6" s="15">
        <f>SUM(J6 * 1/'Raw Values'!$F6)</f>
        <v>164.56319345042183</v>
      </c>
      <c r="AC6" s="15">
        <f>SUM(P6 * 1/'Raw Values'!$F6)</f>
        <v>135.40522319300479</v>
      </c>
    </row>
    <row r="7" spans="1:29" ht="15.75" customHeight="1" x14ac:dyDescent="0.15">
      <c r="A7" s="35" t="s">
        <v>148</v>
      </c>
      <c r="B7" s="11">
        <f>'Raw Values'!C7</f>
        <v>35</v>
      </c>
      <c r="C7" s="15">
        <f>'Raw Values'!D7</f>
        <v>0.91</v>
      </c>
      <c r="D7" s="176"/>
      <c r="E7" s="15">
        <f>SUM('Raw Values'!$C7 * ('Raw Values'!$D7 ^ (100/500)))</f>
        <v>34.346012434404678</v>
      </c>
      <c r="F7" s="15">
        <f>SUM('Raw Values'!$C7 * ('Raw Values'!$D7 ^ (200/500)))</f>
        <v>33.704244861265153</v>
      </c>
      <c r="G7" s="15">
        <f>SUM('Raw Values'!$C7 * ('Raw Values'!$D7 ^ (300/500)))</f>
        <v>33.074468945635225</v>
      </c>
      <c r="H7" s="15">
        <f>SUM('Raw Values'!$C7 * ('Raw Values'!$D7 ^ (400/500)))</f>
        <v>32.456460619089107</v>
      </c>
      <c r="I7" s="15">
        <f>SUM('Raw Values'!$C7 * ('Raw Values'!$D7 ^ (500/500)))</f>
        <v>31.85</v>
      </c>
      <c r="J7" s="15">
        <f>SUM('Raw Values'!$C7 * ('Raw Values'!$D7 ^ (600/500)))</f>
        <v>31.254871315308257</v>
      </c>
      <c r="K7" s="15">
        <f>SUM('Raw Values'!$C7 * ('Raw Values'!$D7 ^ (700/500)))</f>
        <v>30.670862823751293</v>
      </c>
      <c r="L7" s="15">
        <f>SUM('Raw Values'!$C7 * ('Raw Values'!$D7 ^ (800/500)))</f>
        <v>30.097766740528055</v>
      </c>
      <c r="M7" s="15">
        <f>SUM('Raw Values'!$C7 * ('Raw Values'!$D7 ^ (900/500)))</f>
        <v>29.53537916337109</v>
      </c>
      <c r="N7" s="15">
        <f>SUM('Raw Values'!$C7 * ('Raw Values'!$D7 ^ (1000/500)))</f>
        <v>28.983500000000003</v>
      </c>
      <c r="O7" s="15">
        <f>SUM('Raw Values'!$C7 * ('Raw Values'!$D7 ^ (1100/500)))</f>
        <v>28.44193289693051</v>
      </c>
      <c r="P7" s="15">
        <f>SUM('Raw Values'!$C7 * ('Raw Values'!$D7 ^ (1200/500)))</f>
        <v>27.910485169613676</v>
      </c>
      <c r="Q7" s="15">
        <f>SUM('Raw Values'!$C7 * ('Raw Values'!$D7 ^ (1300/500)))</f>
        <v>27.388967733880534</v>
      </c>
      <c r="R7" s="15">
        <f>SUM('Raw Values'!$C7 * ('Raw Values'!$D7 ^ (1400/500)))</f>
        <v>26.87719503866769</v>
      </c>
      <c r="S7" s="15">
        <f>SUM('Raw Values'!$C7 * ('Raw Values'!$D7 ^ (1500/500)))</f>
        <v>26.374985000000002</v>
      </c>
      <c r="T7" s="176"/>
      <c r="U7" s="15">
        <f>SUM('Raw Values'!$C7 * ('Raw Values'!$D7 ^ (2000/500)))</f>
        <v>24.001236350000003</v>
      </c>
      <c r="V7" s="15">
        <f>SUM('Raw Values'!$C7 * ('Raw Values'!$D7 ^ (2500/500)))</f>
        <v>21.841125078500006</v>
      </c>
      <c r="W7" s="15">
        <f>SUM('Raw Values'!$C7 * ('Raw Values'!$D7 ^ (3000/500)))</f>
        <v>19.875423821435003</v>
      </c>
      <c r="X7" s="176"/>
      <c r="Y7" s="207">
        <f>SUM(500*(LOG(100/(B7*'Raw Values'!$E7)))/LOG('Raw Values'!$D7))</f>
        <v>1783.8501350412566</v>
      </c>
      <c r="Z7" s="15">
        <f>SUM(E7 * 1/'Raw Values'!$F7)</f>
        <v>202.03536726120396</v>
      </c>
      <c r="AA7" s="15">
        <f>SUM(G7 * 1/'Raw Values'!$F7)</f>
        <v>194.5556996802072</v>
      </c>
      <c r="AB7" s="15">
        <f>SUM(J7 * 1/'Raw Values'!$F7)</f>
        <v>183.85218420769561</v>
      </c>
      <c r="AC7" s="15">
        <f>SUM(P7 * 1/'Raw Values'!$F7)</f>
        <v>164.17932452713924</v>
      </c>
    </row>
    <row r="8" spans="1:29" ht="15.75" customHeight="1" x14ac:dyDescent="0.15">
      <c r="A8" s="35" t="s">
        <v>149</v>
      </c>
      <c r="B8" s="11">
        <f>'Raw Values'!C8</f>
        <v>35</v>
      </c>
      <c r="C8" s="15">
        <f>'Raw Values'!D8</f>
        <v>0.91</v>
      </c>
      <c r="D8" s="176"/>
      <c r="E8" s="15">
        <f>SUM('Raw Values'!$C8 * ('Raw Values'!$D8 ^ (100/500)))</f>
        <v>34.346012434404678</v>
      </c>
      <c r="F8" s="15">
        <f>SUM('Raw Values'!$C8 * ('Raw Values'!$D8 ^ (200/500)))</f>
        <v>33.704244861265153</v>
      </c>
      <c r="G8" s="15">
        <f>SUM('Raw Values'!$C8 * ('Raw Values'!$D8 ^ (300/500)))</f>
        <v>33.074468945635225</v>
      </c>
      <c r="H8" s="15">
        <f>SUM('Raw Values'!$C8 * ('Raw Values'!$D8 ^ (400/500)))</f>
        <v>32.456460619089107</v>
      </c>
      <c r="I8" s="15">
        <f>SUM('Raw Values'!$C8 * ('Raw Values'!$D8 ^ (500/500)))</f>
        <v>31.85</v>
      </c>
      <c r="J8" s="15">
        <f>SUM('Raw Values'!$C8 * ('Raw Values'!$D8 ^ (600/500)))</f>
        <v>31.254871315308257</v>
      </c>
      <c r="K8" s="15">
        <f>SUM('Raw Values'!$C8 * ('Raw Values'!$D8 ^ (700/500)))</f>
        <v>30.670862823751293</v>
      </c>
      <c r="L8" s="15">
        <f>SUM('Raw Values'!$C8 * ('Raw Values'!$D8 ^ (800/500)))</f>
        <v>30.097766740528055</v>
      </c>
      <c r="M8" s="15">
        <f>SUM('Raw Values'!$C8 * ('Raw Values'!$D8 ^ (900/500)))</f>
        <v>29.53537916337109</v>
      </c>
      <c r="N8" s="15">
        <f>SUM('Raw Values'!$C8 * ('Raw Values'!$D8 ^ (1000/500)))</f>
        <v>28.983500000000003</v>
      </c>
      <c r="O8" s="15">
        <f>SUM('Raw Values'!$C8 * ('Raw Values'!$D8 ^ (1100/500)))</f>
        <v>28.44193289693051</v>
      </c>
      <c r="P8" s="15">
        <f>SUM('Raw Values'!$C8 * ('Raw Values'!$D8 ^ (1200/500)))</f>
        <v>27.910485169613676</v>
      </c>
      <c r="Q8" s="15">
        <f>SUM('Raw Values'!$C8 * ('Raw Values'!$D8 ^ (1300/500)))</f>
        <v>27.388967733880534</v>
      </c>
      <c r="R8" s="15">
        <f>SUM('Raw Values'!$C8 * ('Raw Values'!$D8 ^ (1400/500)))</f>
        <v>26.87719503866769</v>
      </c>
      <c r="S8" s="15">
        <f>SUM('Raw Values'!$C8 * ('Raw Values'!$D8 ^ (1500/500)))</f>
        <v>26.374985000000002</v>
      </c>
      <c r="T8" s="176"/>
      <c r="U8" s="15">
        <f>SUM('Raw Values'!$C8 * ('Raw Values'!$D8 ^ (2000/500)))</f>
        <v>24.001236350000003</v>
      </c>
      <c r="V8" s="15">
        <f>SUM('Raw Values'!$C8 * ('Raw Values'!$D8 ^ (2500/500)))</f>
        <v>21.841125078500006</v>
      </c>
      <c r="W8" s="15">
        <f>SUM('Raw Values'!$C8 * ('Raw Values'!$D8 ^ (3000/500)))</f>
        <v>19.875423821435003</v>
      </c>
      <c r="X8" s="176"/>
      <c r="Y8" s="207">
        <f>SUM(500*(LOG(100/(B8*'Raw Values'!$E8)))/LOG('Raw Values'!$D8))</f>
        <v>1783.8501350412566</v>
      </c>
      <c r="Z8" s="15">
        <f>SUM(E8 * 1/'Raw Values'!$F8)</f>
        <v>202.03536726120396</v>
      </c>
      <c r="AA8" s="15">
        <f>SUM(G8 * 1/'Raw Values'!$F8)</f>
        <v>194.5556996802072</v>
      </c>
      <c r="AB8" s="15">
        <f>SUM(J8 * 1/'Raw Values'!$F8)</f>
        <v>183.85218420769561</v>
      </c>
      <c r="AC8" s="15">
        <f>SUM(P8 * 1/'Raw Values'!$F8)</f>
        <v>164.17932452713924</v>
      </c>
    </row>
    <row r="9" spans="1:29" ht="15.75" customHeight="1" x14ac:dyDescent="0.15">
      <c r="A9" s="9" t="s">
        <v>150</v>
      </c>
      <c r="B9" s="11">
        <f>'Raw Values'!C9</f>
        <v>38</v>
      </c>
      <c r="C9" s="15">
        <f>'Raw Values'!D9</f>
        <v>0.9</v>
      </c>
      <c r="D9" s="176"/>
      <c r="E9" s="15">
        <f>SUM('Raw Values'!$C9 * ('Raw Values'!$D9 ^ (100/500)))</f>
        <v>37.207637769717117</v>
      </c>
      <c r="F9" s="15">
        <f>SUM('Raw Values'!$C9 * ('Raw Values'!$D9 ^ (200/500)))</f>
        <v>36.431797589538945</v>
      </c>
      <c r="G9" s="15">
        <f>SUM('Raw Values'!$C9 * ('Raw Values'!$D9 ^ (300/500)))</f>
        <v>35.672134947663636</v>
      </c>
      <c r="H9" s="15">
        <f>SUM('Raw Values'!$C9 * ('Raw Values'!$D9 ^ (400/500)))</f>
        <v>34.928312515924617</v>
      </c>
      <c r="I9" s="15">
        <f>SUM('Raw Values'!$C9 * ('Raw Values'!$D9 ^ (500/500)))</f>
        <v>34.200000000000003</v>
      </c>
      <c r="J9" s="15">
        <f>SUM('Raw Values'!$C9 * ('Raw Values'!$D9 ^ (600/500)))</f>
        <v>33.486873992745409</v>
      </c>
      <c r="K9" s="15">
        <f>SUM('Raw Values'!$C9 * ('Raw Values'!$D9 ^ (700/500)))</f>
        <v>32.788617830585054</v>
      </c>
      <c r="L9" s="15">
        <f>SUM('Raw Values'!$C9 * ('Raw Values'!$D9 ^ (800/500)))</f>
        <v>32.10492145289728</v>
      </c>
      <c r="M9" s="15">
        <f>SUM('Raw Values'!$C9 * ('Raw Values'!$D9 ^ (900/500)))</f>
        <v>31.435481264332157</v>
      </c>
      <c r="N9" s="15">
        <f>SUM('Raw Values'!$C9 * ('Raw Values'!$D9 ^ (1000/500)))</f>
        <v>30.78</v>
      </c>
      <c r="O9" s="15">
        <f>SUM('Raw Values'!$C9 * ('Raw Values'!$D9 ^ (1100/500)))</f>
        <v>30.138186593470866</v>
      </c>
      <c r="P9" s="15">
        <f>SUM('Raw Values'!$C9 * ('Raw Values'!$D9 ^ (1200/500)))</f>
        <v>29.509756047526547</v>
      </c>
      <c r="Q9" s="15">
        <f>SUM('Raw Values'!$C9 * ('Raw Values'!$D9 ^ (1300/500)))</f>
        <v>28.894429307607545</v>
      </c>
      <c r="R9" s="15">
        <f>SUM('Raw Values'!$C9 * ('Raw Values'!$D9 ^ (1400/500)))</f>
        <v>28.291933137898944</v>
      </c>
      <c r="S9" s="15">
        <f>SUM('Raw Values'!$C9 * ('Raw Values'!$D9 ^ (1500/500)))</f>
        <v>27.702000000000005</v>
      </c>
      <c r="T9" s="176"/>
      <c r="U9" s="15">
        <f>SUM('Raw Values'!$C9 * ('Raw Values'!$D9 ^ (2000/500)))</f>
        <v>24.931800000000006</v>
      </c>
      <c r="V9" s="15">
        <f>SUM('Raw Values'!$C9 * ('Raw Values'!$D9 ^ (2500/500)))</f>
        <v>22.438620000000007</v>
      </c>
      <c r="W9" s="15">
        <f>SUM('Raw Values'!$C9 * ('Raw Values'!$D9 ^ (3000/500)))</f>
        <v>20.194758000000007</v>
      </c>
      <c r="X9" s="176"/>
      <c r="Y9" s="207">
        <f>SUM(500*(LOG(100/(B9*'Raw Values'!$E9)))/LOG('Raw Values'!$D9))</f>
        <v>1987.0362832031315</v>
      </c>
      <c r="Z9" s="15">
        <f>SUM(E9 * 1/'Raw Values'!$F9)</f>
        <v>248.05091846478078</v>
      </c>
      <c r="AA9" s="15">
        <f>SUM(G9 * 1/'Raw Values'!$F9)</f>
        <v>237.81423298442425</v>
      </c>
      <c r="AB9" s="15">
        <f>SUM(J9 * 1/'Raw Values'!$F9)</f>
        <v>223.24582661830274</v>
      </c>
      <c r="AC9" s="15">
        <f>SUM(P9 * 1/'Raw Values'!$F9)</f>
        <v>196.73170698351032</v>
      </c>
    </row>
    <row r="10" spans="1:29" ht="15.75" customHeight="1" x14ac:dyDescent="0.15">
      <c r="A10" s="9" t="s">
        <v>151</v>
      </c>
      <c r="B10" s="11">
        <f>'Raw Values'!C10</f>
        <v>31</v>
      </c>
      <c r="C10" s="15">
        <f>'Raw Values'!D10</f>
        <v>0.85</v>
      </c>
      <c r="D10" s="176"/>
      <c r="E10" s="15">
        <f>SUM('Raw Values'!$C10 * ('Raw Values'!$D10 ^ (100/500)))</f>
        <v>30.008582335076923</v>
      </c>
      <c r="F10" s="15">
        <f>SUM('Raw Values'!$C10 * ('Raw Values'!$D10 ^ (200/500)))</f>
        <v>29.048871411648086</v>
      </c>
      <c r="G10" s="15">
        <f>SUM('Raw Values'!$C10 * ('Raw Values'!$D10 ^ (300/500)))</f>
        <v>28.119853209596897</v>
      </c>
      <c r="H10" s="15">
        <f>SUM('Raw Values'!$C10 * ('Raw Values'!$D10 ^ (400/500)))</f>
        <v>27.220546138402113</v>
      </c>
      <c r="I10" s="15">
        <f>SUM('Raw Values'!$C10 * ('Raw Values'!$D10 ^ (500/500)))</f>
        <v>26.349999999999998</v>
      </c>
      <c r="J10" s="15">
        <f>SUM('Raw Values'!$C10 * ('Raw Values'!$D10 ^ (600/500)))</f>
        <v>25.507294984815385</v>
      </c>
      <c r="K10" s="15">
        <f>SUM('Raw Values'!$C10 * ('Raw Values'!$D10 ^ (700/500)))</f>
        <v>24.691540699900873</v>
      </c>
      <c r="L10" s="15">
        <f>SUM('Raw Values'!$C10 * ('Raw Values'!$D10 ^ (800/500)))</f>
        <v>23.901875228157362</v>
      </c>
      <c r="M10" s="15">
        <f>SUM('Raw Values'!$C10 * ('Raw Values'!$D10 ^ (900/500)))</f>
        <v>23.137464217641796</v>
      </c>
      <c r="N10" s="15">
        <f>SUM('Raw Values'!$C10 * ('Raw Values'!$D10 ^ (1000/500)))</f>
        <v>22.397499999999997</v>
      </c>
      <c r="O10" s="15">
        <f>SUM('Raw Values'!$C10 * ('Raw Values'!$D10 ^ (1100/500)))</f>
        <v>21.681200737093075</v>
      </c>
      <c r="P10" s="15">
        <f>SUM('Raw Values'!$C10 * ('Raw Values'!$D10 ^ (1200/500)))</f>
        <v>20.987809594915742</v>
      </c>
      <c r="Q10" s="15">
        <f>SUM('Raw Values'!$C10 * ('Raw Values'!$D10 ^ (1300/500)))</f>
        <v>20.316593943933757</v>
      </c>
      <c r="R10" s="15">
        <f>SUM('Raw Values'!$C10 * ('Raw Values'!$D10 ^ (1400/500)))</f>
        <v>19.666844584995527</v>
      </c>
      <c r="S10" s="15">
        <f>SUM('Raw Values'!$C10 * ('Raw Values'!$D10 ^ (1500/500)))</f>
        <v>19.037874999999996</v>
      </c>
      <c r="T10" s="176"/>
      <c r="U10" s="15">
        <f>SUM('Raw Values'!$C10 * ('Raw Values'!$D10 ^ (2000/500)))</f>
        <v>16.182193749999996</v>
      </c>
      <c r="V10" s="15">
        <f>SUM('Raw Values'!$C10 * ('Raw Values'!$D10 ^ (2500/500)))</f>
        <v>13.754864687499996</v>
      </c>
      <c r="W10" s="15">
        <f>SUM('Raw Values'!$C10 * ('Raw Values'!$D10 ^ (3000/500)))</f>
        <v>11.691634984374996</v>
      </c>
      <c r="X10" s="176"/>
      <c r="Y10" s="207">
        <f>SUM(500*(LOG(100/(B10*'Raw Values'!$E10)))/LOG('Raw Values'!$D10))</f>
        <v>661.80407501358366</v>
      </c>
      <c r="Z10" s="15">
        <f>SUM(E10 * 1/'Raw Values'!$F10)</f>
        <v>300.0858233507692</v>
      </c>
      <c r="AA10" s="15">
        <f>SUM(G10 * 1/'Raw Values'!$F10)</f>
        <v>281.19853209596897</v>
      </c>
      <c r="AB10" s="15">
        <f>SUM(J10 * 1/'Raw Values'!$F10)</f>
        <v>255.07294984815383</v>
      </c>
      <c r="AC10" s="15">
        <f>SUM(P10 * 1/'Raw Values'!$F10)</f>
        <v>209.8780959491574</v>
      </c>
    </row>
    <row r="11" spans="1:29" ht="15.75" customHeight="1" x14ac:dyDescent="0.15">
      <c r="A11" s="36" t="s">
        <v>152</v>
      </c>
      <c r="B11" s="11">
        <f>'Raw Values'!C11</f>
        <v>33</v>
      </c>
      <c r="C11" s="15">
        <f>'Raw Values'!D11</f>
        <v>0.79</v>
      </c>
      <c r="D11" s="176"/>
      <c r="E11" s="15">
        <f>SUM('Raw Values'!$C11 * ('Raw Values'!$D11 ^ (100/500)))</f>
        <v>31.480335931579642</v>
      </c>
      <c r="F11" s="15">
        <f>SUM('Raw Values'!$C11 * ('Raw Values'!$D11 ^ (200/500)))</f>
        <v>30.030653041366801</v>
      </c>
      <c r="G11" s="15">
        <f>SUM('Raw Values'!$C11 * ('Raw Values'!$D11 ^ (300/500)))</f>
        <v>28.647728666270933</v>
      </c>
      <c r="H11" s="15">
        <f>SUM('Raw Values'!$C11 * ('Raw Values'!$D11 ^ (400/500)))</f>
        <v>27.3284885482107</v>
      </c>
      <c r="I11" s="15">
        <f>SUM('Raw Values'!$C11 * ('Raw Values'!$D11 ^ (500/500)))</f>
        <v>26.07</v>
      </c>
      <c r="J11" s="15">
        <f>SUM('Raw Values'!$C11 * ('Raw Values'!$D11 ^ (600/500)))</f>
        <v>24.869465385947919</v>
      </c>
      <c r="K11" s="15">
        <f>SUM('Raw Values'!$C11 * ('Raw Values'!$D11 ^ (700/500)))</f>
        <v>23.724215902679774</v>
      </c>
      <c r="L11" s="15">
        <f>SUM('Raw Values'!$C11 * ('Raw Values'!$D11 ^ (800/500)))</f>
        <v>22.631705646354039</v>
      </c>
      <c r="M11" s="15">
        <f>SUM('Raw Values'!$C11 * ('Raw Values'!$D11 ^ (900/500)))</f>
        <v>21.589505953086451</v>
      </c>
      <c r="N11" s="15">
        <f>SUM('Raw Values'!$C11 * ('Raw Values'!$D11 ^ (1000/500)))</f>
        <v>20.595300000000002</v>
      </c>
      <c r="O11" s="15">
        <f>SUM('Raw Values'!$C11 * ('Raw Values'!$D11 ^ (1100/500)))</f>
        <v>19.646877654898859</v>
      </c>
      <c r="P11" s="15">
        <f>SUM('Raw Values'!$C11 * ('Raw Values'!$D11 ^ (1200/500)))</f>
        <v>18.742130563117023</v>
      </c>
      <c r="Q11" s="15">
        <f>SUM('Raw Values'!$C11 * ('Raw Values'!$D11 ^ (1300/500)))</f>
        <v>17.879047460619688</v>
      </c>
      <c r="R11" s="15">
        <f>SUM('Raw Values'!$C11 * ('Raw Values'!$D11 ^ (1400/500)))</f>
        <v>17.055709702938298</v>
      </c>
      <c r="S11" s="15">
        <f>SUM('Raw Values'!$C11 * ('Raw Values'!$D11 ^ (1500/500)))</f>
        <v>16.270287000000003</v>
      </c>
      <c r="T11" s="176"/>
      <c r="U11" s="15">
        <f>SUM('Raw Values'!$C11 * ('Raw Values'!$D11 ^ (2000/500)))</f>
        <v>12.853526730000004</v>
      </c>
      <c r="V11" s="15">
        <f>SUM('Raw Values'!$C11 * ('Raw Values'!$D11 ^ (2500/500)))</f>
        <v>10.154286116700003</v>
      </c>
      <c r="W11" s="15">
        <f>SUM('Raw Values'!$C11 * ('Raw Values'!$D11 ^ (3000/500)))</f>
        <v>8.0218860321930041</v>
      </c>
      <c r="X11" s="176"/>
      <c r="Y11" s="207">
        <f>SUM(500*(LOG(100/(B11*'Raw Values'!$E11)))/LOG('Raw Values'!$D11))</f>
        <v>588.89569870447519</v>
      </c>
      <c r="Z11" s="15">
        <f>SUM(E11 * 1/'Raw Values'!$F11)</f>
        <v>262.33613276316368</v>
      </c>
      <c r="AA11" s="15">
        <f>SUM(G11 * 1/'Raw Values'!$F11)</f>
        <v>238.73107221892445</v>
      </c>
      <c r="AB11" s="15">
        <f>SUM(J11 * 1/'Raw Values'!$F11)</f>
        <v>207.24554488289934</v>
      </c>
      <c r="AC11" s="15">
        <f>SUM(P11 * 1/'Raw Values'!$F11)</f>
        <v>156.18442135930852</v>
      </c>
    </row>
    <row r="12" spans="1:29" ht="15.75" customHeight="1" x14ac:dyDescent="0.15">
      <c r="A12" s="39"/>
      <c r="B12" s="39"/>
      <c r="C12" s="41"/>
      <c r="D12" s="17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79"/>
      <c r="U12" s="39"/>
      <c r="V12" s="39"/>
      <c r="W12" s="39"/>
      <c r="X12" s="179"/>
      <c r="Y12" s="208"/>
      <c r="Z12" s="41"/>
      <c r="AA12" s="41"/>
      <c r="AB12" s="41"/>
      <c r="AC12" s="41"/>
    </row>
    <row r="13" spans="1:29" ht="15.75" customHeight="1" x14ac:dyDescent="0.15">
      <c r="A13" s="1" t="s">
        <v>53</v>
      </c>
      <c r="B13" s="2" t="s">
        <v>3</v>
      </c>
      <c r="C13" s="4" t="s">
        <v>93</v>
      </c>
      <c r="D13" s="204"/>
      <c r="E13" s="2" t="s">
        <v>239</v>
      </c>
      <c r="F13" s="2" t="s">
        <v>240</v>
      </c>
      <c r="G13" s="2" t="s">
        <v>241</v>
      </c>
      <c r="H13" s="2" t="s">
        <v>242</v>
      </c>
      <c r="I13" s="2" t="s">
        <v>243</v>
      </c>
      <c r="J13" s="2" t="s">
        <v>244</v>
      </c>
      <c r="K13" s="2" t="s">
        <v>245</v>
      </c>
      <c r="L13" s="2" t="s">
        <v>246</v>
      </c>
      <c r="M13" s="2" t="s">
        <v>247</v>
      </c>
      <c r="N13" s="2" t="s">
        <v>248</v>
      </c>
      <c r="O13" s="2" t="s">
        <v>249</v>
      </c>
      <c r="P13" s="2" t="s">
        <v>250</v>
      </c>
      <c r="Q13" s="2" t="s">
        <v>251</v>
      </c>
      <c r="R13" s="2" t="s">
        <v>252</v>
      </c>
      <c r="S13" s="2" t="s">
        <v>253</v>
      </c>
      <c r="T13" s="174"/>
      <c r="U13" s="205" t="s">
        <v>254</v>
      </c>
      <c r="V13" s="205" t="s">
        <v>255</v>
      </c>
      <c r="W13" s="205" t="s">
        <v>256</v>
      </c>
      <c r="X13" s="174"/>
      <c r="Y13" s="209" t="s">
        <v>257</v>
      </c>
      <c r="Z13" s="4" t="s">
        <v>258</v>
      </c>
      <c r="AA13" s="4" t="s">
        <v>259</v>
      </c>
      <c r="AB13" s="4" t="s">
        <v>260</v>
      </c>
      <c r="AC13" s="4" t="s">
        <v>261</v>
      </c>
    </row>
    <row r="14" spans="1:29" ht="15.75" customHeight="1" x14ac:dyDescent="0.15">
      <c r="A14" s="35" t="s">
        <v>153</v>
      </c>
      <c r="B14" s="11">
        <f>'Raw Values'!C14</f>
        <v>30</v>
      </c>
      <c r="C14" s="15">
        <f>'Raw Values'!D14</f>
        <v>0.45</v>
      </c>
      <c r="D14" s="176"/>
      <c r="E14" s="15">
        <f>SUM('Raw Values'!$C14 * ('Raw Values'!$D14 ^ (100/500)))</f>
        <v>25.571944752114774</v>
      </c>
      <c r="F14" s="15">
        <f>SUM('Raw Values'!$C14 * ('Raw Values'!$D14 ^ (200/500)))</f>
        <v>21.79747861350701</v>
      </c>
      <c r="G14" s="15">
        <f>SUM('Raw Values'!$C14 * ('Raw Values'!$D14 ^ (300/500)))</f>
        <v>18.580130628000155</v>
      </c>
      <c r="H14" s="15">
        <f>SUM('Raw Values'!$C14 * ('Raw Values'!$D14 ^ (400/500)))</f>
        <v>15.837669130209852</v>
      </c>
      <c r="I14" s="15">
        <f>SUM('Raw Values'!$C14 * ('Raw Values'!$D14 ^ (500/500)))</f>
        <v>13.5</v>
      </c>
      <c r="J14" s="15">
        <f>SUM('Raw Values'!$C14 * ('Raw Values'!$D14 ^ (600/500)))</f>
        <v>11.50737513845165</v>
      </c>
      <c r="K14" s="15">
        <f>SUM('Raw Values'!$C14 * ('Raw Values'!$D14 ^ (700/500)))</f>
        <v>9.8088653760781561</v>
      </c>
      <c r="L14" s="15">
        <f>SUM('Raw Values'!$C14 * ('Raw Values'!$D14 ^ (800/500)))</f>
        <v>8.3610587826000682</v>
      </c>
      <c r="M14" s="15">
        <f>SUM('Raw Values'!$C14 * ('Raw Values'!$D14 ^ (900/500)))</f>
        <v>7.1269511085944339</v>
      </c>
      <c r="N14" s="15">
        <f>SUM('Raw Values'!$C14 * ('Raw Values'!$D14 ^ (1000/500)))</f>
        <v>6.0750000000000002</v>
      </c>
      <c r="O14" s="15">
        <f>SUM('Raw Values'!$C14 * ('Raw Values'!$D14 ^ (1100/500)))</f>
        <v>5.1783188123032406</v>
      </c>
      <c r="P14" s="15">
        <f>SUM('Raw Values'!$C14 * ('Raw Values'!$D14 ^ (1200/500)))</f>
        <v>4.413989419235171</v>
      </c>
      <c r="Q14" s="15">
        <f>SUM('Raw Values'!$C14 * ('Raw Values'!$D14 ^ (1300/500)))</f>
        <v>3.7624764521700302</v>
      </c>
      <c r="R14" s="15">
        <f>SUM('Raw Values'!$C14 * ('Raw Values'!$D14 ^ (1400/500)))</f>
        <v>3.2071279988674952</v>
      </c>
      <c r="S14" s="15"/>
      <c r="T14" s="176"/>
      <c r="U14" s="15"/>
      <c r="V14" s="15"/>
      <c r="W14" s="15"/>
      <c r="X14" s="176"/>
      <c r="Y14" s="207">
        <f>SUM(500*(LOG(100/(B14*'Raw Values'!$E14)))/LOG('Raw Values'!$D14))</f>
        <v>114.16393208076936</v>
      </c>
      <c r="Z14" s="15">
        <f>SUM(E14 * 'Raw Values'!O14/'Raw Values'!$F14)</f>
        <v>240.6771270787273</v>
      </c>
      <c r="AA14" s="15">
        <f>SUM(G14 * 'Raw Values'!O14/'Raw Values'!$F14)</f>
        <v>174.87181767529557</v>
      </c>
      <c r="AB14" s="15">
        <f>SUM(J14 * 'Raw Values'!O14/'Raw Values'!$F14)</f>
        <v>108.30470718542729</v>
      </c>
      <c r="AC14" s="15">
        <f>SUM(P14 * 'Raw Values'!O14/'Raw Values'!$F14)</f>
        <v>41.543429828095725</v>
      </c>
    </row>
    <row r="15" spans="1:29" ht="15.75" customHeight="1" x14ac:dyDescent="0.15">
      <c r="A15" s="9" t="s">
        <v>155</v>
      </c>
      <c r="B15" s="11">
        <f>'Raw Values'!C15</f>
        <v>26</v>
      </c>
      <c r="C15" s="15">
        <f>'Raw Values'!D15</f>
        <v>0.7</v>
      </c>
      <c r="D15" s="176"/>
      <c r="E15" s="15">
        <f>SUM('Raw Values'!$C15 * ('Raw Values'!$D15 ^ (100/500)))</f>
        <v>24.209897792465782</v>
      </c>
      <c r="F15" s="15">
        <f>SUM('Raw Values'!$C15 * ('Raw Values'!$D15 ^ (200/500)))</f>
        <v>22.54304427390921</v>
      </c>
      <c r="G15" s="15">
        <f>SUM('Raw Values'!$C15 * ('Raw Values'!$D15 ^ (300/500)))</f>
        <v>20.990953761629726</v>
      </c>
      <c r="H15" s="15">
        <f>SUM('Raw Values'!$C15 * ('Raw Values'!$D15 ^ (400/500)))</f>
        <v>19.545724812901181</v>
      </c>
      <c r="I15" s="15">
        <f>SUM('Raw Values'!$C15 * ('Raw Values'!$D15 ^ (500/500)))</f>
        <v>18.2</v>
      </c>
      <c r="J15" s="15">
        <f>SUM('Raw Values'!$C15 * ('Raw Values'!$D15 ^ (600/500)))</f>
        <v>16.946928454726045</v>
      </c>
      <c r="K15" s="15">
        <f>SUM('Raw Values'!$C15 * ('Raw Values'!$D15 ^ (700/500)))</f>
        <v>15.780130991736446</v>
      </c>
      <c r="L15" s="15">
        <f>SUM('Raw Values'!$C15 * ('Raw Values'!$D15 ^ (800/500)))</f>
        <v>14.693667633140807</v>
      </c>
      <c r="M15" s="15">
        <f>SUM('Raw Values'!$C15 * ('Raw Values'!$D15 ^ (900/500)))</f>
        <v>13.682007369030826</v>
      </c>
      <c r="N15" s="15">
        <f>SUM('Raw Values'!$C15 * ('Raw Values'!$D15 ^ (1000/500)))</f>
        <v>12.739999999999998</v>
      </c>
      <c r="O15" s="15">
        <f>SUM('Raw Values'!$C15 * ('Raw Values'!$D15 ^ (1100/500)))</f>
        <v>11.86284991830823</v>
      </c>
      <c r="P15" s="15">
        <f>SUM('Raw Values'!$C15 * ('Raw Values'!$D15 ^ (1200/500)))</f>
        <v>11.046091694215511</v>
      </c>
      <c r="Q15" s="15">
        <f>SUM('Raw Values'!$C15 * ('Raw Values'!$D15 ^ (1300/500)))</f>
        <v>10.285567343198565</v>
      </c>
      <c r="R15" s="15">
        <f>SUM('Raw Values'!$C15 * ('Raw Values'!$D15 ^ (1400/500)))</f>
        <v>9.5774051583215805</v>
      </c>
      <c r="S15" s="15">
        <f>SUM('Raw Values'!$C15 * ('Raw Values'!$D15 ^ (1500/500)))</f>
        <v>8.9179999999999975</v>
      </c>
      <c r="T15" s="176"/>
      <c r="U15" s="15">
        <f>SUM('Raw Values'!$C15 * ('Raw Values'!$D15 ^ (2000/500)))</f>
        <v>6.2425999999999977</v>
      </c>
      <c r="V15" s="15">
        <f>SUM('Raw Values'!$C15 * ('Raw Values'!$D15 ^ (2500/500)))</f>
        <v>4.3698199999999989</v>
      </c>
      <c r="W15" s="15">
        <f>SUM('Raw Values'!$C15 * ('Raw Values'!$D15 ^ (3000/500)))</f>
        <v>3.0588739999999985</v>
      </c>
      <c r="X15" s="176"/>
      <c r="Y15" s="207">
        <f>SUM(500*(LOG(100/(B15*'Raw Values'!$E15)))/LOG('Raw Values'!$D15))</f>
        <v>54.981032197229943</v>
      </c>
      <c r="Z15" s="15">
        <f>SUM(E15 * 'Raw Values'!O15/'Raw Values'!$F15)</f>
        <v>247.60122742294547</v>
      </c>
      <c r="AA15" s="15">
        <f>SUM(G15 * 'Raw Values'!O15/'Raw Values'!$F15)</f>
        <v>214.68020892575856</v>
      </c>
      <c r="AB15" s="15">
        <f>SUM(J15 * 'Raw Values'!O15/'Raw Values'!$F15)</f>
        <v>173.32085919606183</v>
      </c>
      <c r="AC15" s="15">
        <f>SUM(P15 * 'Raw Values'!O15/'Raw Values'!$F15)</f>
        <v>112.97139232720407</v>
      </c>
    </row>
    <row r="16" spans="1:29" ht="15.75" customHeight="1" x14ac:dyDescent="0.15">
      <c r="A16" s="36" t="s">
        <v>156</v>
      </c>
      <c r="B16" s="11">
        <f>'Raw Values'!C16</f>
        <v>32</v>
      </c>
      <c r="C16" s="15">
        <f>'Raw Values'!D16</f>
        <v>0.45</v>
      </c>
      <c r="D16" s="176"/>
      <c r="E16" s="15">
        <f>SUM('Raw Values'!$C16 * ('Raw Values'!$D16 ^ (100/500)))</f>
        <v>27.276741068922426</v>
      </c>
      <c r="F16" s="15">
        <f>SUM('Raw Values'!$C16 * ('Raw Values'!$D16 ^ (200/500)))</f>
        <v>23.250643854407478</v>
      </c>
      <c r="G16" s="15">
        <f>SUM('Raw Values'!$C16 * ('Raw Values'!$D16 ^ (300/500)))</f>
        <v>19.818806003200166</v>
      </c>
      <c r="H16" s="15">
        <f>SUM('Raw Values'!$C16 * ('Raw Values'!$D16 ^ (400/500)))</f>
        <v>16.893513738890508</v>
      </c>
      <c r="I16" s="15">
        <f>SUM('Raw Values'!$C16 * ('Raw Values'!$D16 ^ (500/500)))</f>
        <v>14.4</v>
      </c>
      <c r="J16" s="15">
        <f>SUM('Raw Values'!$C16 * ('Raw Values'!$D16 ^ (600/500)))</f>
        <v>12.274533481015093</v>
      </c>
      <c r="K16" s="15">
        <f>SUM('Raw Values'!$C16 * ('Raw Values'!$D16 ^ (700/500)))</f>
        <v>10.462789734483366</v>
      </c>
      <c r="L16" s="15">
        <f>SUM('Raw Values'!$C16 * ('Raw Values'!$D16 ^ (800/500)))</f>
        <v>8.9184627014400721</v>
      </c>
      <c r="M16" s="15">
        <f>SUM('Raw Values'!$C16 * ('Raw Values'!$D16 ^ (900/500)))</f>
        <v>7.6020811825007293</v>
      </c>
      <c r="N16" s="15">
        <f>SUM('Raw Values'!$C16 * ('Raw Values'!$D16 ^ (1000/500)))</f>
        <v>6.48</v>
      </c>
      <c r="O16" s="15">
        <f>SUM('Raw Values'!$C16 * ('Raw Values'!$D16 ^ (1100/500)))</f>
        <v>5.52354006645679</v>
      </c>
      <c r="P16" s="15">
        <f>SUM('Raw Values'!$C16 * ('Raw Values'!$D16 ^ (1200/500)))</f>
        <v>4.7082553805175156</v>
      </c>
      <c r="Q16" s="15">
        <f>SUM('Raw Values'!$C16 * ('Raw Values'!$D16 ^ (1300/500)))</f>
        <v>4.0133082156480322</v>
      </c>
      <c r="R16" s="15">
        <f>SUM('Raw Values'!$C16 * ('Raw Values'!$D16 ^ (1400/500)))</f>
        <v>3.4209365321253284</v>
      </c>
      <c r="S16" s="15"/>
      <c r="T16" s="176"/>
      <c r="U16" s="15"/>
      <c r="V16" s="15"/>
      <c r="W16" s="15"/>
      <c r="X16" s="176"/>
      <c r="Y16" s="207">
        <f>SUM(500*(LOG(100/(B16*'Raw Values'!$E16)))/LOG('Raw Values'!$D16))</f>
        <v>154.57589144150299</v>
      </c>
      <c r="Z16" s="15">
        <f>SUM(E16 * 'Raw Values'!O16/'Raw Values'!$F16)</f>
        <v>256.7222688839758</v>
      </c>
      <c r="AA16" s="15">
        <f>SUM(G16 * 'Raw Values'!O16/'Raw Values'!$F16)</f>
        <v>186.52993885364862</v>
      </c>
      <c r="AB16" s="15">
        <f>SUM(J16 * 'Raw Values'!O16/'Raw Values'!$F16)</f>
        <v>115.52502099778911</v>
      </c>
      <c r="AC16" s="15">
        <f>SUM(P16 * 'Raw Values'!O16/'Raw Values'!$F16)</f>
        <v>44.312991816635439</v>
      </c>
    </row>
    <row r="17" spans="1:29" ht="15.75" customHeight="1" x14ac:dyDescent="0.15">
      <c r="A17" s="9" t="s">
        <v>157</v>
      </c>
      <c r="B17" s="11">
        <f>'Raw Values'!C17</f>
        <v>20</v>
      </c>
      <c r="C17" s="15">
        <f>'Raw Values'!D17</f>
        <v>0.7</v>
      </c>
      <c r="D17" s="176"/>
      <c r="E17" s="15">
        <f>SUM('Raw Values'!$C17 * ('Raw Values'!$D17 ^ (100/500)))</f>
        <v>18.622998301896754</v>
      </c>
      <c r="F17" s="15">
        <f>SUM('Raw Values'!$C17 * ('Raw Values'!$D17 ^ (200/500)))</f>
        <v>17.340803287622467</v>
      </c>
      <c r="G17" s="15">
        <f>SUM('Raw Values'!$C17 * ('Raw Values'!$D17 ^ (300/500)))</f>
        <v>16.146887508945944</v>
      </c>
      <c r="H17" s="15">
        <f>SUM('Raw Values'!$C17 * ('Raw Values'!$D17 ^ (400/500)))</f>
        <v>15.035172933000908</v>
      </c>
      <c r="I17" s="15">
        <f>SUM('Raw Values'!$C17 * ('Raw Values'!$D17 ^ (500/500)))</f>
        <v>14</v>
      </c>
      <c r="J17" s="15">
        <f>SUM('Raw Values'!$C17 * ('Raw Values'!$D17 ^ (600/500)))</f>
        <v>13.036098811327728</v>
      </c>
      <c r="K17" s="15">
        <f>SUM('Raw Values'!$C17 * ('Raw Values'!$D17 ^ (700/500)))</f>
        <v>12.138562301335726</v>
      </c>
      <c r="L17" s="15">
        <f>SUM('Raw Values'!$C17 * ('Raw Values'!$D17 ^ (800/500)))</f>
        <v>11.30282125626216</v>
      </c>
      <c r="M17" s="15">
        <f>SUM('Raw Values'!$C17 * ('Raw Values'!$D17 ^ (900/500)))</f>
        <v>10.524621053100635</v>
      </c>
      <c r="N17" s="15">
        <f>SUM('Raw Values'!$C17 * ('Raw Values'!$D17 ^ (1000/500)))</f>
        <v>9.7999999999999989</v>
      </c>
      <c r="O17" s="15">
        <f>SUM('Raw Values'!$C17 * ('Raw Values'!$D17 ^ (1100/500)))</f>
        <v>9.1252691679294067</v>
      </c>
      <c r="P17" s="15">
        <f>SUM('Raw Values'!$C17 * ('Raw Values'!$D17 ^ (1200/500)))</f>
        <v>8.496993610935009</v>
      </c>
      <c r="Q17" s="15">
        <f>SUM('Raw Values'!$C17 * ('Raw Values'!$D17 ^ (1300/500)))</f>
        <v>7.9119748793835107</v>
      </c>
      <c r="R17" s="15">
        <f>SUM('Raw Values'!$C17 * ('Raw Values'!$D17 ^ (1400/500)))</f>
        <v>7.3672347371704463</v>
      </c>
      <c r="S17" s="15">
        <f>SUM('Raw Values'!$C17 * ('Raw Values'!$D17 ^ (1500/500)))</f>
        <v>6.8599999999999985</v>
      </c>
      <c r="T17" s="176"/>
      <c r="U17" s="15">
        <f>SUM('Raw Values'!$C17 * ('Raw Values'!$D17 ^ (2000/500)))</f>
        <v>4.8019999999999987</v>
      </c>
      <c r="V17" s="15">
        <f>SUM('Raw Values'!$C17 * ('Raw Values'!$D17 ^ (2500/500)))</f>
        <v>3.3613999999999988</v>
      </c>
      <c r="W17" s="15">
        <f>SUM('Raw Values'!$C17 * ('Raw Values'!$D17 ^ (3000/500)))</f>
        <v>2.3529799999999987</v>
      </c>
      <c r="X17" s="176"/>
      <c r="Y17" s="207" t="s">
        <v>236</v>
      </c>
      <c r="Z17" s="15">
        <f>SUM(E17 * 'Raw Values'!O17/'Raw Values'!$F17)</f>
        <v>319.2513994610872</v>
      </c>
      <c r="AA17" s="15">
        <f>SUM(G17 * 'Raw Values'!O17/'Raw Values'!$F17)</f>
        <v>276.80378586764476</v>
      </c>
      <c r="AB17" s="15">
        <f>SUM(J17 * 'Raw Values'!O17/'Raw Values'!$F17)</f>
        <v>223.47597962276106</v>
      </c>
      <c r="AC17" s="15">
        <f>SUM(P17 * 'Raw Values'!O17/'Raw Values'!$F17)</f>
        <v>145.66274761602875</v>
      </c>
    </row>
    <row r="18" spans="1:29" ht="15.75" customHeight="1" x14ac:dyDescent="0.15">
      <c r="A18" s="39"/>
      <c r="B18" s="39"/>
      <c r="C18" s="41"/>
      <c r="D18" s="17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79"/>
      <c r="U18" s="39"/>
      <c r="V18" s="39"/>
      <c r="W18" s="39"/>
      <c r="X18" s="179"/>
      <c r="Y18" s="208"/>
      <c r="Z18" s="41"/>
      <c r="AA18" s="41"/>
      <c r="AB18" s="41"/>
      <c r="AC18" s="41"/>
    </row>
    <row r="19" spans="1:29" ht="15.75" customHeight="1" x14ac:dyDescent="0.15">
      <c r="A19" s="1" t="s">
        <v>59</v>
      </c>
      <c r="B19" s="2" t="s">
        <v>3</v>
      </c>
      <c r="C19" s="4" t="s">
        <v>93</v>
      </c>
      <c r="D19" s="204"/>
      <c r="E19" s="2" t="s">
        <v>239</v>
      </c>
      <c r="F19" s="2" t="s">
        <v>240</v>
      </c>
      <c r="G19" s="2" t="s">
        <v>241</v>
      </c>
      <c r="H19" s="2" t="s">
        <v>242</v>
      </c>
      <c r="I19" s="2" t="s">
        <v>243</v>
      </c>
      <c r="J19" s="2" t="s">
        <v>244</v>
      </c>
      <c r="K19" s="2" t="s">
        <v>245</v>
      </c>
      <c r="L19" s="2" t="s">
        <v>246</v>
      </c>
      <c r="M19" s="2" t="s">
        <v>247</v>
      </c>
      <c r="N19" s="2" t="s">
        <v>248</v>
      </c>
      <c r="O19" s="2" t="s">
        <v>249</v>
      </c>
      <c r="P19" s="2" t="s">
        <v>250</v>
      </c>
      <c r="Q19" s="2" t="s">
        <v>251</v>
      </c>
      <c r="R19" s="2" t="s">
        <v>252</v>
      </c>
      <c r="S19" s="2" t="s">
        <v>253</v>
      </c>
      <c r="T19" s="174"/>
      <c r="U19" s="205" t="s">
        <v>254</v>
      </c>
      <c r="V19" s="205" t="s">
        <v>255</v>
      </c>
      <c r="W19" s="205" t="s">
        <v>256</v>
      </c>
      <c r="X19" s="174"/>
      <c r="Y19" s="209" t="s">
        <v>257</v>
      </c>
      <c r="Z19" s="4" t="s">
        <v>258</v>
      </c>
      <c r="AA19" s="4" t="s">
        <v>259</v>
      </c>
      <c r="AB19" s="4" t="s">
        <v>260</v>
      </c>
      <c r="AC19" s="4" t="s">
        <v>261</v>
      </c>
    </row>
    <row r="20" spans="1:29" ht="15.75" customHeight="1" x14ac:dyDescent="0.15">
      <c r="A20" s="9" t="s">
        <v>158</v>
      </c>
      <c r="B20" s="11">
        <f>'Raw Values'!C20</f>
        <v>27</v>
      </c>
      <c r="C20" s="15">
        <f>'Raw Values'!D20</f>
        <v>0.8</v>
      </c>
      <c r="D20" s="176"/>
      <c r="E20" s="15">
        <f>SUM('Raw Values'!$C20 * ('Raw Values'!$D20 ^ (100/500)))</f>
        <v>25.821517494330998</v>
      </c>
      <c r="F20" s="15">
        <f>SUM('Raw Values'!$C20 * ('Raw Values'!$D20 ^ (200/500)))</f>
        <v>24.694472804075623</v>
      </c>
      <c r="G20" s="15">
        <f>SUM('Raw Values'!$C20 * ('Raw Values'!$D20 ^ (300/500)))</f>
        <v>23.616620797174807</v>
      </c>
      <c r="H20" s="15">
        <f>SUM('Raw Values'!$C20 * ('Raw Values'!$D20 ^ (400/500)))</f>
        <v>22.585814335971502</v>
      </c>
      <c r="I20" s="15">
        <f>SUM('Raw Values'!$C20 * ('Raw Values'!$D20 ^ (500/500)))</f>
        <v>21.6</v>
      </c>
      <c r="J20" s="15">
        <f>SUM('Raw Values'!$C20 * ('Raw Values'!$D20 ^ (600/500)))</f>
        <v>20.657213995464801</v>
      </c>
      <c r="K20" s="15">
        <f>SUM('Raw Values'!$C20 * ('Raw Values'!$D20 ^ (700/500)))</f>
        <v>19.755578243260501</v>
      </c>
      <c r="L20" s="15">
        <f>SUM('Raw Values'!$C20 * ('Raw Values'!$D20 ^ (800/500)))</f>
        <v>18.893296637739844</v>
      </c>
      <c r="M20" s="15">
        <f>SUM('Raw Values'!$C20 * ('Raw Values'!$D20 ^ (900/500)))</f>
        <v>18.068651468777205</v>
      </c>
      <c r="N20" s="15">
        <f>SUM('Raw Values'!$C20 * ('Raw Values'!$D20 ^ (1000/500)))</f>
        <v>17.280000000000005</v>
      </c>
      <c r="O20" s="15">
        <f>SUM('Raw Values'!$C20 * ('Raw Values'!$D20 ^ (1100/500)))</f>
        <v>16.525771196371839</v>
      </c>
      <c r="P20" s="15">
        <f>SUM('Raw Values'!$C20 * ('Raw Values'!$D20 ^ (1200/500)))</f>
        <v>15.804462594608399</v>
      </c>
      <c r="Q20" s="15">
        <f>SUM('Raw Values'!$C20 * ('Raw Values'!$D20 ^ (1300/500)))</f>
        <v>15.114637310191878</v>
      </c>
      <c r="R20" s="15">
        <f>SUM('Raw Values'!$C20 * ('Raw Values'!$D20 ^ (1400/500)))</f>
        <v>14.454921175021763</v>
      </c>
      <c r="S20" s="15">
        <f>SUM('Raw Values'!$C20 * ('Raw Values'!$D20 ^ (1500/500)))</f>
        <v>13.824000000000003</v>
      </c>
      <c r="T20" s="176"/>
      <c r="U20" s="15">
        <f>SUM('Raw Values'!$C20 * ('Raw Values'!$D20 ^ (2000/500)))</f>
        <v>11.059200000000004</v>
      </c>
      <c r="V20" s="15">
        <f>SUM('Raw Values'!$C20 * ('Raw Values'!$D20 ^ (2500/500)))</f>
        <v>8.8473600000000054</v>
      </c>
      <c r="W20" s="15">
        <f>SUM('Raw Values'!$C20 * ('Raw Values'!$D20 ^ (3000/500)))</f>
        <v>7.0778880000000042</v>
      </c>
      <c r="X20" s="176"/>
      <c r="Y20" s="207">
        <f>SUM(500*(LOG(100/(B20*'Raw Values'!$E20)))/LOG('Raw Values'!$D20))</f>
        <v>172.44737901423611</v>
      </c>
      <c r="Z20" s="15">
        <f>SUM(E20 * 1/'Raw Values'!$F20)</f>
        <v>322.76896867913746</v>
      </c>
      <c r="AA20" s="15">
        <f>SUM(G20 * 1/'Raw Values'!$F20)</f>
        <v>295.20775996468507</v>
      </c>
      <c r="AB20" s="15">
        <f>SUM(J20 * 1/'Raw Values'!$F20)</f>
        <v>258.21517494330999</v>
      </c>
      <c r="AC20" s="15">
        <f>SUM(P20 * 1/'Raw Values'!$F20)</f>
        <v>197.55578243260499</v>
      </c>
    </row>
    <row r="21" spans="1:29" ht="15.75" customHeight="1" x14ac:dyDescent="0.15">
      <c r="A21" s="36" t="s">
        <v>160</v>
      </c>
      <c r="B21" s="11">
        <f>'Raw Values'!C21</f>
        <v>29</v>
      </c>
      <c r="C21" s="15">
        <f>'Raw Values'!D21</f>
        <v>0.8</v>
      </c>
      <c r="D21" s="176"/>
      <c r="E21" s="15">
        <f>SUM('Raw Values'!$C21 * ('Raw Values'!$D21 ^ (100/500)))</f>
        <v>27.734222493911073</v>
      </c>
      <c r="F21" s="15">
        <f>SUM('Raw Values'!$C21 * ('Raw Values'!$D21 ^ (200/500)))</f>
        <v>26.523693011784928</v>
      </c>
      <c r="G21" s="15">
        <f>SUM('Raw Values'!$C21 * ('Raw Values'!$D21 ^ (300/500)))</f>
        <v>25.366000115484052</v>
      </c>
      <c r="H21" s="15">
        <f>SUM('Raw Values'!$C21 * ('Raw Values'!$D21 ^ (400/500)))</f>
        <v>24.258837620117539</v>
      </c>
      <c r="I21" s="15">
        <f>SUM('Raw Values'!$C21 * ('Raw Values'!$D21 ^ (500/500)))</f>
        <v>23.200000000000003</v>
      </c>
      <c r="J21" s="15">
        <f>SUM('Raw Values'!$C21 * ('Raw Values'!$D21 ^ (600/500)))</f>
        <v>22.187377995128859</v>
      </c>
      <c r="K21" s="15">
        <f>SUM('Raw Values'!$C21 * ('Raw Values'!$D21 ^ (700/500)))</f>
        <v>21.218954409427944</v>
      </c>
      <c r="L21" s="15">
        <f>SUM('Raw Values'!$C21 * ('Raw Values'!$D21 ^ (800/500)))</f>
        <v>20.292800092387239</v>
      </c>
      <c r="M21" s="15">
        <f>SUM('Raw Values'!$C21 * ('Raw Values'!$D21 ^ (900/500)))</f>
        <v>19.407070096094035</v>
      </c>
      <c r="N21" s="15">
        <f>SUM('Raw Values'!$C21 * ('Raw Values'!$D21 ^ (1000/500)))</f>
        <v>18.560000000000002</v>
      </c>
      <c r="O21" s="15">
        <f>SUM('Raw Values'!$C21 * ('Raw Values'!$D21 ^ (1100/500)))</f>
        <v>17.749902396103089</v>
      </c>
      <c r="P21" s="15">
        <f>SUM('Raw Values'!$C21 * ('Raw Values'!$D21 ^ (1200/500)))</f>
        <v>16.975163527542353</v>
      </c>
      <c r="Q21" s="15">
        <f>SUM('Raw Values'!$C21 * ('Raw Values'!$D21 ^ (1300/500)))</f>
        <v>16.234240073909795</v>
      </c>
      <c r="R21" s="15">
        <f>SUM('Raw Values'!$C21 * ('Raw Values'!$D21 ^ (1400/500)))</f>
        <v>15.525656076875228</v>
      </c>
      <c r="S21" s="15">
        <f>SUM('Raw Values'!$C21 * ('Raw Values'!$D21 ^ (1500/500)))</f>
        <v>14.848000000000004</v>
      </c>
      <c r="T21" s="176"/>
      <c r="U21" s="15">
        <f>SUM('Raw Values'!$C21 * ('Raw Values'!$D21 ^ (2000/500)))</f>
        <v>11.878400000000006</v>
      </c>
      <c r="V21" s="15">
        <f>SUM('Raw Values'!$C21 * ('Raw Values'!$D21 ^ (2500/500)))</f>
        <v>9.5027200000000054</v>
      </c>
      <c r="W21" s="15">
        <f>SUM('Raw Values'!$C21 * ('Raw Values'!$D21 ^ (3000/500)))</f>
        <v>7.6021760000000045</v>
      </c>
      <c r="X21" s="176"/>
      <c r="Y21" s="207">
        <f>SUM(500*(LOG(100/(B21*'Raw Values'!$E21)))/LOG('Raw Values'!$D21))</f>
        <v>332.56619840490544</v>
      </c>
      <c r="Z21" s="15">
        <f>SUM(E21 * 1/'Raw Values'!$F21)</f>
        <v>369.78963325214767</v>
      </c>
      <c r="AA21" s="15">
        <f>SUM(G21 * 1/'Raw Values'!$F21)</f>
        <v>338.21333487312069</v>
      </c>
      <c r="AB21" s="15">
        <f>SUM(J21 * 1/'Raw Values'!$F21)</f>
        <v>295.83170660171811</v>
      </c>
      <c r="AC21" s="15">
        <f>SUM(P21 * 1/'Raw Values'!$F21)</f>
        <v>226.33551370056472</v>
      </c>
    </row>
    <row r="22" spans="1:29" ht="15.75" customHeight="1" x14ac:dyDescent="0.15">
      <c r="A22" s="9" t="s">
        <v>161</v>
      </c>
      <c r="B22" s="11">
        <f>'Raw Values'!C22</f>
        <v>29</v>
      </c>
      <c r="C22" s="15">
        <f>'Raw Values'!D22</f>
        <v>0.85</v>
      </c>
      <c r="D22" s="176"/>
      <c r="E22" s="15">
        <f>SUM('Raw Values'!$C22 * ('Raw Values'!$D22 ^ (100/500)))</f>
        <v>28.07254476507196</v>
      </c>
      <c r="F22" s="15">
        <f>SUM('Raw Values'!$C22 * ('Raw Values'!$D22 ^ (200/500)))</f>
        <v>27.174750675412728</v>
      </c>
      <c r="G22" s="15">
        <f>SUM('Raw Values'!$C22 * ('Raw Values'!$D22 ^ (300/500)))</f>
        <v>26.305669131558385</v>
      </c>
      <c r="H22" s="15">
        <f>SUM('Raw Values'!$C22 * ('Raw Values'!$D22 ^ (400/500)))</f>
        <v>25.464381871408428</v>
      </c>
      <c r="I22" s="15">
        <f>SUM('Raw Values'!$C22 * ('Raw Values'!$D22 ^ (500/500)))</f>
        <v>24.65</v>
      </c>
      <c r="J22" s="15">
        <f>SUM('Raw Values'!$C22 * ('Raw Values'!$D22 ^ (600/500)))</f>
        <v>23.861663050311165</v>
      </c>
      <c r="K22" s="15">
        <f>SUM('Raw Values'!$C22 * ('Raw Values'!$D22 ^ (700/500)))</f>
        <v>23.098538074100816</v>
      </c>
      <c r="L22" s="15">
        <f>SUM('Raw Values'!$C22 * ('Raw Values'!$D22 ^ (800/500)))</f>
        <v>22.359818761824627</v>
      </c>
      <c r="M22" s="15">
        <f>SUM('Raw Values'!$C22 * ('Raw Values'!$D22 ^ (900/500)))</f>
        <v>21.644724590697166</v>
      </c>
      <c r="N22" s="15">
        <f>SUM('Raw Values'!$C22 * ('Raw Values'!$D22 ^ (1000/500)))</f>
        <v>20.952499999999997</v>
      </c>
      <c r="O22" s="15">
        <f>SUM('Raw Values'!$C22 * ('Raw Values'!$D22 ^ (1100/500)))</f>
        <v>20.282413592764492</v>
      </c>
      <c r="P22" s="15">
        <f>SUM('Raw Values'!$C22 * ('Raw Values'!$D22 ^ (1200/500)))</f>
        <v>19.633757362985694</v>
      </c>
      <c r="Q22" s="15">
        <f>SUM('Raw Values'!$C22 * ('Raw Values'!$D22 ^ (1300/500)))</f>
        <v>19.005845947550934</v>
      </c>
      <c r="R22" s="15">
        <f>SUM('Raw Values'!$C22 * ('Raw Values'!$D22 ^ (1400/500)))</f>
        <v>18.398015902092588</v>
      </c>
      <c r="S22" s="15">
        <f>SUM('Raw Values'!$C22 * ('Raw Values'!$D22 ^ (1500/500)))</f>
        <v>17.809624999999997</v>
      </c>
      <c r="T22" s="176"/>
      <c r="U22" s="15">
        <f>SUM('Raw Values'!$C22 * ('Raw Values'!$D22 ^ (2000/500)))</f>
        <v>15.138181249999997</v>
      </c>
      <c r="V22" s="15">
        <f>SUM('Raw Values'!$C22 * ('Raw Values'!$D22 ^ (2500/500)))</f>
        <v>12.867454062499997</v>
      </c>
      <c r="W22" s="15">
        <f>SUM('Raw Values'!$C22 * ('Raw Values'!$D22 ^ (3000/500)))</f>
        <v>10.937335953124997</v>
      </c>
      <c r="X22" s="176"/>
      <c r="Y22" s="207">
        <f>SUM(500*(LOG(100/(B22*'Raw Values'!$E22)))/LOG('Raw Values'!$D22))</f>
        <v>456.62374708266015</v>
      </c>
      <c r="Z22" s="15">
        <f>SUM(E22 * 1/'Raw Values'!$F22)</f>
        <v>350.90680956339952</v>
      </c>
      <c r="AA22" s="15">
        <f>SUM(G22 * 1/'Raw Values'!$F22)</f>
        <v>328.8208641444798</v>
      </c>
      <c r="AB22" s="15">
        <f>SUM(J22 * 1/'Raw Values'!$F22)</f>
        <v>298.27078812888954</v>
      </c>
      <c r="AC22" s="15">
        <f>SUM(P22 * 1/'Raw Values'!$F22)</f>
        <v>245.42196703732117</v>
      </c>
    </row>
    <row r="23" spans="1:29" ht="15.75" customHeight="1" x14ac:dyDescent="0.15">
      <c r="A23" s="53" t="s">
        <v>162</v>
      </c>
      <c r="B23" s="11">
        <f>'Raw Values'!C23</f>
        <v>27</v>
      </c>
      <c r="C23" s="15">
        <f>'Raw Values'!D23</f>
        <v>0.85</v>
      </c>
      <c r="D23" s="176"/>
      <c r="E23" s="15">
        <f>SUM('Raw Values'!$C23 * ('Raw Values'!$D23 ^ (100/500)))</f>
        <v>26.136507195066997</v>
      </c>
      <c r="F23" s="15">
        <f>SUM('Raw Values'!$C23 * ('Raw Values'!$D23 ^ (200/500)))</f>
        <v>25.300629939177366</v>
      </c>
      <c r="G23" s="15">
        <f>SUM('Raw Values'!$C23 * ('Raw Values'!$D23 ^ (300/500)))</f>
        <v>24.491485053519877</v>
      </c>
      <c r="H23" s="15">
        <f>SUM('Raw Values'!$C23 * ('Raw Values'!$D23 ^ (400/500)))</f>
        <v>23.708217604414745</v>
      </c>
      <c r="I23" s="15">
        <f>SUM('Raw Values'!$C23 * ('Raw Values'!$D23 ^ (500/500)))</f>
        <v>22.95</v>
      </c>
      <c r="J23" s="15">
        <f>SUM('Raw Values'!$C23 * ('Raw Values'!$D23 ^ (600/500)))</f>
        <v>22.216031115806945</v>
      </c>
      <c r="K23" s="15">
        <f>SUM('Raw Values'!$C23 * ('Raw Values'!$D23 ^ (700/500)))</f>
        <v>21.505535448300758</v>
      </c>
      <c r="L23" s="15">
        <f>SUM('Raw Values'!$C23 * ('Raw Values'!$D23 ^ (800/500)))</f>
        <v>20.817762295491896</v>
      </c>
      <c r="M23" s="15">
        <f>SUM('Raw Values'!$C23 * ('Raw Values'!$D23 ^ (900/500)))</f>
        <v>20.151984963752533</v>
      </c>
      <c r="N23" s="15">
        <f>SUM('Raw Values'!$C23 * ('Raw Values'!$D23 ^ (1000/500)))</f>
        <v>19.507499999999997</v>
      </c>
      <c r="O23" s="15">
        <f>SUM('Raw Values'!$C23 * ('Raw Values'!$D23 ^ (1100/500)))</f>
        <v>18.883626448435905</v>
      </c>
      <c r="P23" s="15">
        <f>SUM('Raw Values'!$C23 * ('Raw Values'!$D23 ^ (1200/500)))</f>
        <v>18.279705131055646</v>
      </c>
      <c r="Q23" s="15">
        <f>SUM('Raw Values'!$C23 * ('Raw Values'!$D23 ^ (1300/500)))</f>
        <v>17.695097951168112</v>
      </c>
      <c r="R23" s="15">
        <f>SUM('Raw Values'!$C23 * ('Raw Values'!$D23 ^ (1400/500)))</f>
        <v>17.129187219189653</v>
      </c>
      <c r="S23" s="15">
        <f>SUM('Raw Values'!$C23 * ('Raw Values'!$D23 ^ (1500/500)))</f>
        <v>16.581374999999998</v>
      </c>
      <c r="T23" s="176"/>
      <c r="U23" s="15">
        <f>SUM('Raw Values'!$C23 * ('Raw Values'!$D23 ^ (2000/500)))</f>
        <v>14.094168749999998</v>
      </c>
      <c r="V23" s="15">
        <f>SUM('Raw Values'!$C23 * ('Raw Values'!$D23 ^ (2500/500)))</f>
        <v>11.980043437499997</v>
      </c>
      <c r="W23" s="15">
        <f>SUM('Raw Values'!$C23 * ('Raw Values'!$D23 ^ (3000/500)))</f>
        <v>10.183036921874997</v>
      </c>
      <c r="X23" s="176"/>
      <c r="Y23" s="207">
        <f>SUM(500*(LOG(100/(B23*'Raw Values'!$E23)))/LOG('Raw Values'!$D23))</f>
        <v>236.77562168898606</v>
      </c>
      <c r="Z23" s="15">
        <f>SUM(E23 * 1/'Raw Values'!$F23)</f>
        <v>326.70633993833746</v>
      </c>
      <c r="AA23" s="15">
        <f>SUM(G23 * 1/'Raw Values'!$F23)</f>
        <v>306.14356316899847</v>
      </c>
      <c r="AB23" s="15">
        <f>SUM(J23 * 1/'Raw Values'!$F23)</f>
        <v>277.70038894758682</v>
      </c>
      <c r="AC23" s="15">
        <f>SUM(P23 * 1/'Raw Values'!$F23)</f>
        <v>228.49631413819557</v>
      </c>
    </row>
    <row r="24" spans="1:29" ht="15.75" customHeight="1" x14ac:dyDescent="0.15">
      <c r="A24" s="35" t="s">
        <v>163</v>
      </c>
      <c r="B24" s="11">
        <f>'Raw Values'!C24</f>
        <v>26</v>
      </c>
      <c r="C24" s="15">
        <f>'Raw Values'!D24</f>
        <v>0.87</v>
      </c>
      <c r="D24" s="176"/>
      <c r="E24" s="15">
        <f>SUM('Raw Values'!$C24 * ('Raw Values'!$D24 ^ (100/500)))</f>
        <v>25.285829109320545</v>
      </c>
      <c r="F24" s="15">
        <f>SUM('Raw Values'!$C24 * ('Raw Values'!$D24 ^ (200/500)))</f>
        <v>24.591275144067776</v>
      </c>
      <c r="G24" s="15">
        <f>SUM('Raw Values'!$C24 * ('Raw Values'!$D24 ^ (300/500)))</f>
        <v>23.915799264353069</v>
      </c>
      <c r="H24" s="15">
        <f>SUM('Raw Values'!$C24 * ('Raw Values'!$D24 ^ (400/500)))</f>
        <v>23.258877431201757</v>
      </c>
      <c r="I24" s="15">
        <f>SUM('Raw Values'!$C24 * ('Raw Values'!$D24 ^ (500/500)))</f>
        <v>22.62</v>
      </c>
      <c r="J24" s="15">
        <f>SUM('Raw Values'!$C24 * ('Raw Values'!$D24 ^ (600/500)))</f>
        <v>21.998671325108873</v>
      </c>
      <c r="K24" s="15">
        <f>SUM('Raw Values'!$C24 * ('Raw Values'!$D24 ^ (700/500)))</f>
        <v>21.394409375338967</v>
      </c>
      <c r="L24" s="15">
        <f>SUM('Raw Values'!$C24 * ('Raw Values'!$D24 ^ (800/500)))</f>
        <v>20.806745359987168</v>
      </c>
      <c r="M24" s="15">
        <f>SUM('Raw Values'!$C24 * ('Raw Values'!$D24 ^ (900/500)))</f>
        <v>20.235223365145526</v>
      </c>
      <c r="N24" s="15">
        <f>SUM('Raw Values'!$C24 * ('Raw Values'!$D24 ^ (1000/500)))</f>
        <v>19.679400000000001</v>
      </c>
      <c r="O24" s="15">
        <f>SUM('Raw Values'!$C24 * ('Raw Values'!$D24 ^ (1100/500)))</f>
        <v>19.138844052844721</v>
      </c>
      <c r="P24" s="15">
        <f>SUM('Raw Values'!$C24 * ('Raw Values'!$D24 ^ (1200/500)))</f>
        <v>18.613136156544901</v>
      </c>
      <c r="Q24" s="15">
        <f>SUM('Raw Values'!$C24 * ('Raw Values'!$D24 ^ (1300/500)))</f>
        <v>18.101868463188836</v>
      </c>
      <c r="R24" s="15">
        <f>SUM('Raw Values'!$C24 * ('Raw Values'!$D24 ^ (1400/500)))</f>
        <v>17.60464432767661</v>
      </c>
      <c r="S24" s="15">
        <f>SUM('Raw Values'!$C24 * ('Raw Values'!$D24 ^ (1500/500)))</f>
        <v>17.121078000000001</v>
      </c>
      <c r="T24" s="176"/>
      <c r="U24" s="15">
        <f>SUM('Raw Values'!$C24 * ('Raw Values'!$D24 ^ (2000/500)))</f>
        <v>14.895337860000001</v>
      </c>
      <c r="V24" s="15">
        <f>SUM('Raw Values'!$C24 * ('Raw Values'!$D24 ^ (2500/500)))</f>
        <v>12.958943938200001</v>
      </c>
      <c r="W24" s="15">
        <f>SUM('Raw Values'!$C24 * ('Raw Values'!$D24 ^ (3000/500)))</f>
        <v>11.274281226234002</v>
      </c>
      <c r="X24" s="176"/>
      <c r="Y24" s="207">
        <f>SUM(500*(LOG(100/(B24*'Raw Values'!$E24)))/LOG('Raw Values'!$D24))</f>
        <v>140.81621041627471</v>
      </c>
      <c r="Z24" s="15">
        <f>SUM(E24 * 1/'Raw Values'!$F24)</f>
        <v>361.2261301331506</v>
      </c>
      <c r="AA24" s="15">
        <f>SUM(G24 * 1/'Raw Values'!$F24)</f>
        <v>341.6542752050438</v>
      </c>
      <c r="AB24" s="15">
        <f>SUM(J24 * 1/'Raw Values'!$F24)</f>
        <v>314.26673321584099</v>
      </c>
      <c r="AC24" s="15">
        <f>SUM(P24 * 1/'Raw Values'!$F24)</f>
        <v>265.90194509349857</v>
      </c>
    </row>
    <row r="25" spans="1:29" ht="15.75" customHeight="1" x14ac:dyDescent="0.15">
      <c r="A25" s="9" t="s">
        <v>164</v>
      </c>
      <c r="B25" s="11">
        <f>'Raw Values'!C25</f>
        <v>26</v>
      </c>
      <c r="C25" s="15">
        <f>'Raw Values'!D25</f>
        <v>0.86</v>
      </c>
      <c r="D25" s="176"/>
      <c r="E25" s="15">
        <f>SUM('Raw Values'!$C25 * ('Raw Values'!$D25 ^ (100/500)))</f>
        <v>25.2274316516814</v>
      </c>
      <c r="F25" s="15">
        <f>SUM('Raw Values'!$C25 * ('Raw Values'!$D25 ^ (200/500)))</f>
        <v>24.477819528471404</v>
      </c>
      <c r="G25" s="15">
        <f>SUM('Raw Values'!$C25 * ('Raw Values'!$D25 ^ (300/500)))</f>
        <v>23.75048150525787</v>
      </c>
      <c r="H25" s="15">
        <f>SUM('Raw Values'!$C25 * ('Raw Values'!$D25 ^ (400/500)))</f>
        <v>23.04475572570831</v>
      </c>
      <c r="I25" s="15">
        <f>SUM('Raw Values'!$C25 * ('Raw Values'!$D25 ^ (500/500)))</f>
        <v>22.36</v>
      </c>
      <c r="J25" s="15">
        <f>SUM('Raw Values'!$C25 * ('Raw Values'!$D25 ^ (600/500)))</f>
        <v>21.695591220446001</v>
      </c>
      <c r="K25" s="15">
        <f>SUM('Raw Values'!$C25 * ('Raw Values'!$D25 ^ (700/500)))</f>
        <v>21.050924794485407</v>
      </c>
      <c r="L25" s="15">
        <f>SUM('Raw Values'!$C25 * ('Raw Values'!$D25 ^ (800/500)))</f>
        <v>20.425414094521766</v>
      </c>
      <c r="M25" s="15">
        <f>SUM('Raw Values'!$C25 * ('Raw Values'!$D25 ^ (900/500)))</f>
        <v>19.818489924109148</v>
      </c>
      <c r="N25" s="15">
        <f>SUM('Raw Values'!$C25 * ('Raw Values'!$D25 ^ (1000/500)))</f>
        <v>19.229599999999998</v>
      </c>
      <c r="O25" s="15">
        <f>SUM('Raw Values'!$C25 * ('Raw Values'!$D25 ^ (1100/500)))</f>
        <v>18.658208449583562</v>
      </c>
      <c r="P25" s="15">
        <f>SUM('Raw Values'!$C25 * ('Raw Values'!$D25 ^ (1200/500)))</f>
        <v>18.103795323257451</v>
      </c>
      <c r="Q25" s="15">
        <f>SUM('Raw Values'!$C25 * ('Raw Values'!$D25 ^ (1300/500)))</f>
        <v>17.565856121288718</v>
      </c>
      <c r="R25" s="15">
        <f>SUM('Raw Values'!$C25 * ('Raw Values'!$D25 ^ (1400/500)))</f>
        <v>17.043901334733867</v>
      </c>
      <c r="S25" s="15">
        <f>SUM('Raw Values'!$C25 * ('Raw Values'!$D25 ^ (1500/500)))</f>
        <v>16.537455999999999</v>
      </c>
      <c r="T25" s="176"/>
      <c r="U25" s="15">
        <f>SUM('Raw Values'!$C25 * ('Raw Values'!$D25 ^ (2000/500)))</f>
        <v>14.222212159999996</v>
      </c>
      <c r="V25" s="15">
        <f>SUM('Raw Values'!$C25 * ('Raw Values'!$D25 ^ (2500/500)))</f>
        <v>12.231102457599997</v>
      </c>
      <c r="W25" s="15">
        <f>SUM('Raw Values'!$C25 * ('Raw Values'!$D25 ^ (3000/500)))</f>
        <v>10.518748113535995</v>
      </c>
      <c r="X25" s="176"/>
      <c r="Y25" s="207">
        <f>SUM(500*(LOG(100/(B25*'Raw Values'!$E25)))/LOG('Raw Values'!$D25))</f>
        <v>130.02241643261647</v>
      </c>
      <c r="Z25" s="15">
        <f>SUM(E25 * 1/'Raw Values'!$F25)</f>
        <v>360.3918807383057</v>
      </c>
      <c r="AA25" s="15">
        <f>SUM(G25 * 1/'Raw Values'!$F25)</f>
        <v>339.29259293225527</v>
      </c>
      <c r="AB25" s="15">
        <f>SUM(J25 * 1/'Raw Values'!$F25)</f>
        <v>309.93701743494285</v>
      </c>
      <c r="AC25" s="15">
        <f>SUM(P25 * 1/'Raw Values'!$F25)</f>
        <v>258.6256474751064</v>
      </c>
    </row>
    <row r="26" spans="1:29" ht="15.75" customHeight="1" x14ac:dyDescent="0.15">
      <c r="A26" s="9" t="s">
        <v>165</v>
      </c>
      <c r="B26" s="11">
        <f>'Raw Values'!C26</f>
        <v>35</v>
      </c>
      <c r="C26" s="15">
        <f>'Raw Values'!D26</f>
        <v>0.75</v>
      </c>
      <c r="D26" s="176"/>
      <c r="E26" s="15">
        <f>SUM('Raw Values'!$C26 * ('Raw Values'!$D26 ^ (100/500)))</f>
        <v>33.043062895321569</v>
      </c>
      <c r="F26" s="15">
        <f>SUM('Raw Values'!$C26 * ('Raw Values'!$D26 ^ (200/500)))</f>
        <v>31.195543014405057</v>
      </c>
      <c r="G26" s="15">
        <f>SUM('Raw Values'!$C26 * ('Raw Values'!$D26 ^ (300/500)))</f>
        <v>29.451322567962738</v>
      </c>
      <c r="H26" s="15">
        <f>SUM('Raw Values'!$C26 * ('Raw Values'!$D26 ^ (400/500)))</f>
        <v>27.804625827531325</v>
      </c>
      <c r="I26" s="15">
        <f>SUM('Raw Values'!$C26 * ('Raw Values'!$D26 ^ (500/500)))</f>
        <v>26.25</v>
      </c>
      <c r="J26" s="15">
        <f>SUM('Raw Values'!$C26 * ('Raw Values'!$D26 ^ (600/500)))</f>
        <v>24.782297171491177</v>
      </c>
      <c r="K26" s="15">
        <f>SUM('Raw Values'!$C26 * ('Raw Values'!$D26 ^ (700/500)))</f>
        <v>23.396657260803792</v>
      </c>
      <c r="L26" s="15">
        <f>SUM('Raw Values'!$C26 * ('Raw Values'!$D26 ^ (800/500)))</f>
        <v>22.088491925972054</v>
      </c>
      <c r="M26" s="15">
        <f>SUM('Raw Values'!$C26 * ('Raw Values'!$D26 ^ (900/500)))</f>
        <v>20.853469370648494</v>
      </c>
      <c r="N26" s="15">
        <f>SUM('Raw Values'!$C26 * ('Raw Values'!$D26 ^ (1000/500)))</f>
        <v>19.6875</v>
      </c>
      <c r="O26" s="15">
        <f>SUM('Raw Values'!$C26 * ('Raw Values'!$D26 ^ (1100/500)))</f>
        <v>18.586722878618382</v>
      </c>
      <c r="P26" s="15">
        <f>SUM('Raw Values'!$C26 * ('Raw Values'!$D26 ^ (1200/500)))</f>
        <v>17.547492945602848</v>
      </c>
      <c r="Q26" s="15">
        <f>SUM('Raw Values'!$C26 * ('Raw Values'!$D26 ^ (1300/500)))</f>
        <v>16.566368944479041</v>
      </c>
      <c r="R26" s="15">
        <f>SUM('Raw Values'!$C26 * ('Raw Values'!$D26 ^ (1400/500)))</f>
        <v>15.640102027986369</v>
      </c>
      <c r="S26" s="15">
        <f>SUM('Raw Values'!$C26 * ('Raw Values'!$D26 ^ (1500/500)))</f>
        <v>14.765625</v>
      </c>
      <c r="T26" s="176"/>
      <c r="U26" s="15">
        <f>SUM('Raw Values'!$C26 * ('Raw Values'!$D26 ^ (2000/500)))</f>
        <v>11.07421875</v>
      </c>
      <c r="V26" s="15">
        <f>SUM('Raw Values'!$C26 * ('Raw Values'!$D26 ^ (2500/500)))</f>
        <v>8.3056640625</v>
      </c>
      <c r="W26" s="15">
        <f>SUM('Raw Values'!$C26 * ('Raw Values'!$D26 ^ (3000/500)))</f>
        <v>6.229248046875</v>
      </c>
      <c r="X26" s="176"/>
      <c r="Y26" s="207">
        <f>SUM(500*(LOG(100/(B26*'Raw Values'!$E26)))/LOG('Raw Values'!$D26))</f>
        <v>584.79875675535845</v>
      </c>
      <c r="Z26" s="15">
        <f>SUM(E26 * 1/'Raw Values'!$F26)</f>
        <v>367.14514328135078</v>
      </c>
      <c r="AA26" s="15">
        <f>SUM(G26 * 1/'Raw Values'!$F26)</f>
        <v>327.23691742180819</v>
      </c>
      <c r="AB26" s="15">
        <f>SUM(J26 * 1/'Raw Values'!$F26)</f>
        <v>275.35885746101309</v>
      </c>
      <c r="AC26" s="15">
        <f>SUM(P26 * 1/'Raw Values'!$F26)</f>
        <v>194.97214384003163</v>
      </c>
    </row>
    <row r="27" spans="1:29" ht="15.75" customHeight="1" x14ac:dyDescent="0.15">
      <c r="A27" s="39"/>
      <c r="B27" s="39"/>
      <c r="C27" s="41"/>
      <c r="D27" s="17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179"/>
      <c r="U27" s="39"/>
      <c r="V27" s="39"/>
      <c r="W27" s="39"/>
      <c r="X27" s="179"/>
      <c r="Y27" s="208"/>
      <c r="Z27" s="41"/>
      <c r="AA27" s="41"/>
      <c r="AB27" s="41"/>
      <c r="AC27" s="41"/>
    </row>
    <row r="28" spans="1:29" ht="15.75" customHeight="1" x14ac:dyDescent="0.15">
      <c r="A28" s="1" t="s">
        <v>68</v>
      </c>
      <c r="B28" s="2" t="s">
        <v>3</v>
      </c>
      <c r="C28" s="4" t="s">
        <v>93</v>
      </c>
      <c r="D28" s="204"/>
      <c r="E28" s="2" t="s">
        <v>239</v>
      </c>
      <c r="F28" s="2" t="s">
        <v>240</v>
      </c>
      <c r="G28" s="2" t="s">
        <v>241</v>
      </c>
      <c r="H28" s="2" t="s">
        <v>242</v>
      </c>
      <c r="I28" s="2" t="s">
        <v>243</v>
      </c>
      <c r="J28" s="2" t="s">
        <v>244</v>
      </c>
      <c r="K28" s="2" t="s">
        <v>245</v>
      </c>
      <c r="L28" s="2" t="s">
        <v>246</v>
      </c>
      <c r="M28" s="2" t="s">
        <v>247</v>
      </c>
      <c r="N28" s="2" t="s">
        <v>248</v>
      </c>
      <c r="O28" s="2" t="s">
        <v>249</v>
      </c>
      <c r="P28" s="2" t="s">
        <v>250</v>
      </c>
      <c r="Q28" s="2" t="s">
        <v>251</v>
      </c>
      <c r="R28" s="2" t="s">
        <v>252</v>
      </c>
      <c r="S28" s="2" t="s">
        <v>253</v>
      </c>
      <c r="T28" s="174"/>
      <c r="U28" s="205" t="s">
        <v>254</v>
      </c>
      <c r="V28" s="205" t="s">
        <v>255</v>
      </c>
      <c r="W28" s="205" t="s">
        <v>256</v>
      </c>
      <c r="X28" s="174"/>
      <c r="Y28" s="209" t="s">
        <v>257</v>
      </c>
      <c r="Z28" s="4" t="s">
        <v>258</v>
      </c>
      <c r="AA28" s="4" t="s">
        <v>259</v>
      </c>
      <c r="AB28" s="4" t="s">
        <v>260</v>
      </c>
      <c r="AC28" s="4" t="s">
        <v>261</v>
      </c>
    </row>
    <row r="29" spans="1:29" ht="15.75" customHeight="1" x14ac:dyDescent="0.15">
      <c r="A29" s="36" t="s">
        <v>166</v>
      </c>
      <c r="B29" s="11">
        <f>'Raw Values'!C29</f>
        <v>36</v>
      </c>
      <c r="C29" s="15">
        <f>'Raw Values'!D29</f>
        <v>0.98</v>
      </c>
      <c r="D29" s="176"/>
      <c r="E29" s="15">
        <f>SUM('Raw Values'!$C29 * ('Raw Values'!$D29 ^ (100/500)))</f>
        <v>35.854833979474392</v>
      </c>
      <c r="F29" s="15">
        <f>SUM('Raw Values'!$C29 * ('Raw Values'!$D29 ^ (200/500)))</f>
        <v>35.710253324879758</v>
      </c>
      <c r="G29" s="15">
        <f>SUM('Raw Values'!$C29 * ('Raw Values'!$D29 ^ (300/500)))</f>
        <v>35.566255675792704</v>
      </c>
      <c r="H29" s="15">
        <f>SUM('Raw Values'!$C29 * ('Raw Values'!$D29 ^ (400/500)))</f>
        <v>35.422838681307944</v>
      </c>
      <c r="I29" s="15">
        <f>SUM('Raw Values'!$C29 * ('Raw Values'!$D29 ^ (500/500)))</f>
        <v>35.28</v>
      </c>
      <c r="J29" s="15">
        <f>SUM('Raw Values'!$C29 * ('Raw Values'!$D29 ^ (600/500)))</f>
        <v>35.137737299884904</v>
      </c>
      <c r="K29" s="15">
        <f>SUM('Raw Values'!$C29 * ('Raw Values'!$D29 ^ (700/500)))</f>
        <v>34.99604825838216</v>
      </c>
      <c r="L29" s="15">
        <f>SUM('Raw Values'!$C29 * ('Raw Values'!$D29 ^ (800/500)))</f>
        <v>34.854930562276849</v>
      </c>
      <c r="M29" s="15">
        <f>SUM('Raw Values'!$C29 * ('Raw Values'!$D29 ^ (900/500)))</f>
        <v>34.714381907681791</v>
      </c>
      <c r="N29" s="15">
        <f>SUM('Raw Values'!$C29 * ('Raw Values'!$D29 ^ (1000/500)))</f>
        <v>34.574399999999997</v>
      </c>
      <c r="O29" s="15">
        <f>SUM('Raw Values'!$C29 * ('Raw Values'!$D29 ^ (1100/500)))</f>
        <v>34.434982553887203</v>
      </c>
      <c r="P29" s="15">
        <f>SUM('Raw Values'!$C29 * ('Raw Values'!$D29 ^ (1200/500)))</f>
        <v>34.296127293214518</v>
      </c>
      <c r="Q29" s="15">
        <f>SUM('Raw Values'!$C29 * ('Raw Values'!$D29 ^ (1300/500)))</f>
        <v>34.157831951031312</v>
      </c>
      <c r="R29" s="15">
        <f>SUM('Raw Values'!$C29 * ('Raw Values'!$D29 ^ (1400/500)))</f>
        <v>34.020094269528151</v>
      </c>
      <c r="S29" s="15">
        <f>SUM('Raw Values'!$C29 * ('Raw Values'!$D29 ^ (1500/500)))</f>
        <v>33.882911999999997</v>
      </c>
      <c r="T29" s="176"/>
      <c r="U29" s="15">
        <f>SUM('Raw Values'!$C29 * ('Raw Values'!$D29 ^ (2000/500)))</f>
        <v>33.205253759999998</v>
      </c>
      <c r="V29" s="15">
        <f>SUM('Raw Values'!$C29 * ('Raw Values'!$D29 ^ (2500/500)))</f>
        <v>32.541148684799992</v>
      </c>
      <c r="W29" s="15">
        <f>SUM('Raw Values'!$C29 * ('Raw Values'!$D29 ^ (3000/500)))</f>
        <v>31.890325711103994</v>
      </c>
      <c r="X29" s="176"/>
      <c r="Y29" s="207">
        <f>SUM(500*(LOG(100/(B29*'Raw Values'!$E29)))/LOG('Raw Values'!$D29))</f>
        <v>9024.6101143012784</v>
      </c>
      <c r="Z29" s="15">
        <f>SUM(E29 * 1/'Raw Values'!$F29)</f>
        <v>358.54833979474392</v>
      </c>
      <c r="AA29" s="15">
        <f>SUM(G29 * 1/'Raw Values'!$F29)</f>
        <v>355.66255675792701</v>
      </c>
      <c r="AB29" s="15">
        <f>SUM(J29 * 1/'Raw Values'!$F29)</f>
        <v>351.37737299884901</v>
      </c>
      <c r="AC29" s="15">
        <f>SUM(P29 * 1/'Raw Values'!$F29)</f>
        <v>342.96127293214516</v>
      </c>
    </row>
    <row r="30" spans="1:29" ht="15.75" customHeight="1" x14ac:dyDescent="0.15">
      <c r="A30" s="35" t="s">
        <v>168</v>
      </c>
      <c r="B30" s="11">
        <f>'Raw Values'!C30</f>
        <v>28</v>
      </c>
      <c r="C30" s="15">
        <f>'Raw Values'!D30</f>
        <v>0.98</v>
      </c>
      <c r="D30" s="176"/>
      <c r="E30" s="15">
        <f>SUM('Raw Values'!$C30 * ('Raw Values'!$D30 ^ (100/500)))</f>
        <v>27.887093095146749</v>
      </c>
      <c r="F30" s="15">
        <f>SUM('Raw Values'!$C30 * ('Raw Values'!$D30 ^ (200/500)))</f>
        <v>27.774641474906481</v>
      </c>
      <c r="G30" s="15">
        <f>SUM('Raw Values'!$C30 * ('Raw Values'!$D30 ^ (300/500)))</f>
        <v>27.662643303394322</v>
      </c>
      <c r="H30" s="15">
        <f>SUM('Raw Values'!$C30 * ('Raw Values'!$D30 ^ (400/500)))</f>
        <v>27.551096752128402</v>
      </c>
      <c r="I30" s="15">
        <f>SUM('Raw Values'!$C30 * ('Raw Values'!$D30 ^ (500/500)))</f>
        <v>27.439999999999998</v>
      </c>
      <c r="J30" s="15">
        <f>SUM('Raw Values'!$C30 * ('Raw Values'!$D30 ^ (600/500)))</f>
        <v>27.329351233243813</v>
      </c>
      <c r="K30" s="15">
        <f>SUM('Raw Values'!$C30 * ('Raw Values'!$D30 ^ (700/500)))</f>
        <v>27.21914864540835</v>
      </c>
      <c r="L30" s="15">
        <f>SUM('Raw Values'!$C30 * ('Raw Values'!$D30 ^ (800/500)))</f>
        <v>27.109390437326436</v>
      </c>
      <c r="M30" s="15">
        <f>SUM('Raw Values'!$C30 * ('Raw Values'!$D30 ^ (900/500)))</f>
        <v>27.000074817085835</v>
      </c>
      <c r="N30" s="15">
        <f>SUM('Raw Values'!$C30 * ('Raw Values'!$D30 ^ (1000/500)))</f>
        <v>26.891199999999998</v>
      </c>
      <c r="O30" s="15">
        <f>SUM('Raw Values'!$C30 * ('Raw Values'!$D30 ^ (1100/500)))</f>
        <v>26.782764208578936</v>
      </c>
      <c r="P30" s="15">
        <f>SUM('Raw Values'!$C30 * ('Raw Values'!$D30 ^ (1200/500)))</f>
        <v>26.674765672500182</v>
      </c>
      <c r="Q30" s="15">
        <f>SUM('Raw Values'!$C30 * ('Raw Values'!$D30 ^ (1300/500)))</f>
        <v>26.567202628579906</v>
      </c>
      <c r="R30" s="15">
        <f>SUM('Raw Values'!$C30 * ('Raw Values'!$D30 ^ (1400/500)))</f>
        <v>26.460073320744115</v>
      </c>
      <c r="S30" s="15">
        <f>SUM('Raw Values'!$C30 * ('Raw Values'!$D30 ^ (1500/500)))</f>
        <v>26.353375999999997</v>
      </c>
      <c r="T30" s="176"/>
      <c r="U30" s="15">
        <f>SUM('Raw Values'!$C30 * ('Raw Values'!$D30 ^ (2000/500)))</f>
        <v>25.826308479999998</v>
      </c>
      <c r="V30" s="15">
        <f>SUM('Raw Values'!$C30 * ('Raw Values'!$D30 ^ (2500/500)))</f>
        <v>25.309782310399996</v>
      </c>
      <c r="W30" s="15">
        <f>SUM('Raw Values'!$C30 * ('Raw Values'!$D30 ^ (3000/500)))</f>
        <v>24.803586664191993</v>
      </c>
      <c r="X30" s="176"/>
      <c r="Y30" s="207">
        <f>SUM(500*(LOG(100/(B30*'Raw Values'!$E30)))/LOG('Raw Values'!$D30))</f>
        <v>2804.7895642364301</v>
      </c>
      <c r="Z30" s="15">
        <f>SUM(E30 * 1/'Raw Values'!$F30)</f>
        <v>278.87093095146747</v>
      </c>
      <c r="AA30" s="15">
        <f>SUM(G30 * 1/'Raw Values'!$F30)</f>
        <v>276.62643303394321</v>
      </c>
      <c r="AB30" s="15">
        <f>SUM(J30 * 1/'Raw Values'!$F30)</f>
        <v>273.29351233243813</v>
      </c>
      <c r="AC30" s="15">
        <f>SUM(P30 * 1/'Raw Values'!$F30)</f>
        <v>266.74765672500183</v>
      </c>
    </row>
    <row r="31" spans="1:29" ht="15.75" customHeight="1" x14ac:dyDescent="0.15">
      <c r="A31" s="35" t="s">
        <v>169</v>
      </c>
      <c r="B31" s="11">
        <f>'Raw Values'!C31</f>
        <v>30</v>
      </c>
      <c r="C31" s="15">
        <f>'Raw Values'!D31</f>
        <v>0.96</v>
      </c>
      <c r="D31" s="176"/>
      <c r="E31" s="15">
        <f>SUM('Raw Values'!$C31 * ('Raw Values'!$D31 ^ (100/500)))</f>
        <v>29.756065178476987</v>
      </c>
      <c r="F31" s="15">
        <f>SUM('Raw Values'!$C31 * ('Raw Values'!$D31 ^ (200/500)))</f>
        <v>29.514113830192358</v>
      </c>
      <c r="G31" s="15">
        <f>SUM('Raw Values'!$C31 * ('Raw Values'!$D31 ^ (300/500)))</f>
        <v>29.274129827206433</v>
      </c>
      <c r="H31" s="15">
        <f>SUM('Raw Values'!$C31 * ('Raw Values'!$D31 ^ (400/500)))</f>
        <v>29.036097172718396</v>
      </c>
      <c r="I31" s="15">
        <f>SUM('Raw Values'!$C31 * ('Raw Values'!$D31 ^ (500/500)))</f>
        <v>28.799999999999997</v>
      </c>
      <c r="J31" s="15">
        <f>SUM('Raw Values'!$C31 * ('Raw Values'!$D31 ^ (600/500)))</f>
        <v>28.565822571337907</v>
      </c>
      <c r="K31" s="15">
        <f>SUM('Raw Values'!$C31 * ('Raw Values'!$D31 ^ (700/500)))</f>
        <v>28.333549276984662</v>
      </c>
      <c r="L31" s="15">
        <f>SUM('Raw Values'!$C31 * ('Raw Values'!$D31 ^ (800/500)))</f>
        <v>28.103164634118173</v>
      </c>
      <c r="M31" s="15">
        <f>SUM('Raw Values'!$C31 * ('Raw Values'!$D31 ^ (900/500)))</f>
        <v>27.874653285809661</v>
      </c>
      <c r="N31" s="15">
        <f>SUM('Raw Values'!$C31 * ('Raw Values'!$D31 ^ (1000/500)))</f>
        <v>27.648</v>
      </c>
      <c r="O31" s="15">
        <f>SUM('Raw Values'!$C31 * ('Raw Values'!$D31 ^ (1100/500)))</f>
        <v>27.42318966848439</v>
      </c>
      <c r="P31" s="15">
        <f>SUM('Raw Values'!$C31 * ('Raw Values'!$D31 ^ (1200/500)))</f>
        <v>27.200207305905277</v>
      </c>
      <c r="Q31" s="15">
        <f>SUM('Raw Values'!$C31 * ('Raw Values'!$D31 ^ (1300/500)))</f>
        <v>26.979038048753445</v>
      </c>
      <c r="R31" s="15">
        <f>SUM('Raw Values'!$C31 * ('Raw Values'!$D31 ^ (1400/500)))</f>
        <v>26.759667154377269</v>
      </c>
      <c r="S31" s="15">
        <f>SUM('Raw Values'!$C31 * ('Raw Values'!$D31 ^ (1500/500)))</f>
        <v>26.542079999999999</v>
      </c>
      <c r="T31" s="176"/>
      <c r="U31" s="15">
        <f>SUM('Raw Values'!$C31 * ('Raw Values'!$D31 ^ (2000/500)))</f>
        <v>25.480396799999998</v>
      </c>
      <c r="V31" s="15">
        <f>SUM('Raw Values'!$C31 * ('Raw Values'!$D31 ^ (2500/500)))</f>
        <v>24.461180927999997</v>
      </c>
      <c r="W31" s="15">
        <f>SUM('Raw Values'!$C31 * ('Raw Values'!$D31 ^ (3000/500)))</f>
        <v>23.48273369088</v>
      </c>
      <c r="X31" s="176"/>
      <c r="Y31" s="207">
        <f>SUM(500*(LOG(100/(B31*'Raw Values'!$E31)))/LOG('Raw Values'!$D31))</f>
        <v>2233.1289656056588</v>
      </c>
      <c r="Z31" s="15">
        <f>SUM(E31 * 1/'Raw Values'!$F31)</f>
        <v>330.62294642752209</v>
      </c>
      <c r="AA31" s="15">
        <f>SUM(G31 * 1/'Raw Values'!$F31)</f>
        <v>325.26810919118259</v>
      </c>
      <c r="AB31" s="15">
        <f>SUM(J31 * 1/'Raw Values'!$F31)</f>
        <v>317.39802857042122</v>
      </c>
      <c r="AC31" s="15">
        <f>SUM(P31 * 1/'Raw Values'!$F31)</f>
        <v>302.22452562116973</v>
      </c>
    </row>
    <row r="32" spans="1:29" ht="15.75" customHeight="1" x14ac:dyDescent="0.15">
      <c r="A32" s="36" t="s">
        <v>170</v>
      </c>
      <c r="B32" s="11">
        <f>'Raw Values'!C32</f>
        <v>30</v>
      </c>
      <c r="C32" s="15">
        <f>'Raw Values'!D32</f>
        <v>0.98</v>
      </c>
      <c r="D32" s="176"/>
      <c r="E32" s="15">
        <f>SUM('Raw Values'!$C32 * ('Raw Values'!$D32 ^ (100/500)))</f>
        <v>29.879028316228659</v>
      </c>
      <c r="F32" s="15">
        <f>SUM('Raw Values'!$C32 * ('Raw Values'!$D32 ^ (200/500)))</f>
        <v>29.758544437399799</v>
      </c>
      <c r="G32" s="15">
        <f>SUM('Raw Values'!$C32 * ('Raw Values'!$D32 ^ (300/500)))</f>
        <v>29.638546396493915</v>
      </c>
      <c r="H32" s="15">
        <f>SUM('Raw Values'!$C32 * ('Raw Values'!$D32 ^ (400/500)))</f>
        <v>29.519032234423285</v>
      </c>
      <c r="I32" s="15">
        <f>SUM('Raw Values'!$C32 * ('Raw Values'!$D32 ^ (500/500)))</f>
        <v>29.4</v>
      </c>
      <c r="J32" s="15">
        <f>SUM('Raw Values'!$C32 * ('Raw Values'!$D32 ^ (600/500)))</f>
        <v>29.281447749904085</v>
      </c>
      <c r="K32" s="15">
        <f>SUM('Raw Values'!$C32 * ('Raw Values'!$D32 ^ (700/500)))</f>
        <v>29.163373548651805</v>
      </c>
      <c r="L32" s="15">
        <f>SUM('Raw Values'!$C32 * ('Raw Values'!$D32 ^ (800/500)))</f>
        <v>29.045775468564038</v>
      </c>
      <c r="M32" s="15">
        <f>SUM('Raw Values'!$C32 * ('Raw Values'!$D32 ^ (900/500)))</f>
        <v>28.928651589734823</v>
      </c>
      <c r="N32" s="15">
        <f>SUM('Raw Values'!$C32 * ('Raw Values'!$D32 ^ (1000/500)))</f>
        <v>28.811999999999998</v>
      </c>
      <c r="O32" s="15">
        <f>SUM('Raw Values'!$C32 * ('Raw Values'!$D32 ^ (1100/500)))</f>
        <v>28.695818794906003</v>
      </c>
      <c r="P32" s="15">
        <f>SUM('Raw Values'!$C32 * ('Raw Values'!$D32 ^ (1200/500)))</f>
        <v>28.580106077678767</v>
      </c>
      <c r="Q32" s="15">
        <f>SUM('Raw Values'!$C32 * ('Raw Values'!$D32 ^ (1300/500)))</f>
        <v>28.464859959192758</v>
      </c>
      <c r="R32" s="15">
        <f>SUM('Raw Values'!$C32 * ('Raw Values'!$D32 ^ (1400/500)))</f>
        <v>28.350078557940126</v>
      </c>
      <c r="S32" s="15">
        <f>SUM('Raw Values'!$C32 * ('Raw Values'!$D32 ^ (1500/500)))</f>
        <v>28.235759999999999</v>
      </c>
      <c r="T32" s="176"/>
      <c r="U32" s="15">
        <f>SUM('Raw Values'!$C32 * ('Raw Values'!$D32 ^ (2000/500)))</f>
        <v>27.671044799999997</v>
      </c>
      <c r="V32" s="15">
        <f>SUM('Raw Values'!$C32 * ('Raw Values'!$D32 ^ (2500/500)))</f>
        <v>27.117623903999995</v>
      </c>
      <c r="W32" s="15">
        <f>SUM('Raw Values'!$C32 * ('Raw Values'!$D32 ^ (3000/500)))</f>
        <v>26.575271425919993</v>
      </c>
      <c r="X32" s="176"/>
      <c r="Y32" s="207">
        <f>SUM(500*(LOG(100/(B32*'Raw Values'!$E32)))/LOG('Raw Values'!$D32))</f>
        <v>4512.3050571506383</v>
      </c>
      <c r="Z32" s="15">
        <f>SUM(E32 * 1/'Raw Values'!$F32)</f>
        <v>331.98920351365177</v>
      </c>
      <c r="AA32" s="15">
        <f>SUM(G32 * 1/'Raw Values'!$F32)</f>
        <v>329.31718218326574</v>
      </c>
      <c r="AB32" s="15">
        <f>SUM(J32 * 1/'Raw Values'!$F32)</f>
        <v>325.34941944337874</v>
      </c>
      <c r="AC32" s="15">
        <f>SUM(P32 * 1/'Raw Values'!$F32)</f>
        <v>317.55673419643074</v>
      </c>
    </row>
    <row r="33" spans="1:29" ht="15.75" customHeight="1" x14ac:dyDescent="0.15">
      <c r="A33" s="35" t="s">
        <v>171</v>
      </c>
      <c r="B33" s="11">
        <f>'Raw Values'!C33</f>
        <v>33</v>
      </c>
      <c r="C33" s="15">
        <f>'Raw Values'!D33</f>
        <v>0.97</v>
      </c>
      <c r="D33" s="176"/>
      <c r="E33" s="15">
        <f>SUM('Raw Values'!$C33 * ('Raw Values'!$D33 ^ (100/500)))</f>
        <v>32.79958031289069</v>
      </c>
      <c r="F33" s="15">
        <f>SUM('Raw Values'!$C33 * ('Raw Values'!$D33 ^ (200/500)))</f>
        <v>32.600377839447468</v>
      </c>
      <c r="G33" s="15">
        <f>SUM('Raw Values'!$C33 * ('Raw Values'!$D33 ^ (300/500)))</f>
        <v>32.402385187137554</v>
      </c>
      <c r="H33" s="15">
        <f>SUM('Raw Values'!$C33 * ('Raw Values'!$D33 ^ (400/500)))</f>
        <v>32.205595008325389</v>
      </c>
      <c r="I33" s="15">
        <f>SUM('Raw Values'!$C33 * ('Raw Values'!$D33 ^ (500/500)))</f>
        <v>32.01</v>
      </c>
      <c r="J33" s="15">
        <f>SUM('Raw Values'!$C33 * ('Raw Values'!$D33 ^ (600/500)))</f>
        <v>31.815592903503969</v>
      </c>
      <c r="K33" s="15">
        <f>SUM('Raw Values'!$C33 * ('Raw Values'!$D33 ^ (700/500)))</f>
        <v>31.622366504264047</v>
      </c>
      <c r="L33" s="15">
        <f>SUM('Raw Values'!$C33 * ('Raw Values'!$D33 ^ (800/500)))</f>
        <v>31.430313631523425</v>
      </c>
      <c r="M33" s="15">
        <f>SUM('Raw Values'!$C33 * ('Raw Values'!$D33 ^ (900/500)))</f>
        <v>31.239427158075621</v>
      </c>
      <c r="N33" s="15">
        <f>SUM('Raw Values'!$C33 * ('Raw Values'!$D33 ^ (1000/500)))</f>
        <v>31.049699999999998</v>
      </c>
      <c r="O33" s="15">
        <f>SUM('Raw Values'!$C33 * ('Raw Values'!$D33 ^ (1100/500)))</f>
        <v>30.861125116398849</v>
      </c>
      <c r="P33" s="15">
        <f>SUM('Raw Values'!$C33 * ('Raw Values'!$D33 ^ (1200/500)))</f>
        <v>30.673695509136124</v>
      </c>
      <c r="Q33" s="15">
        <f>SUM('Raw Values'!$C33 * ('Raw Values'!$D33 ^ (1300/500)))</f>
        <v>30.48740422257772</v>
      </c>
      <c r="R33" s="15">
        <f>SUM('Raw Values'!$C33 * ('Raw Values'!$D33 ^ (1400/500)))</f>
        <v>30.302244343333356</v>
      </c>
      <c r="S33" s="15">
        <f>SUM('Raw Values'!$C33 * ('Raw Values'!$D33 ^ (1500/500)))</f>
        <v>30.118209</v>
      </c>
      <c r="T33" s="176"/>
      <c r="U33" s="15">
        <f>SUM('Raw Values'!$C33 * ('Raw Values'!$D33 ^ (2000/500)))</f>
        <v>29.214662729999997</v>
      </c>
      <c r="V33" s="15">
        <f>SUM('Raw Values'!$C33 * ('Raw Values'!$D33 ^ (2500/500)))</f>
        <v>28.338222848099996</v>
      </c>
      <c r="W33" s="15">
        <f>SUM('Raw Values'!$C33 * ('Raw Values'!$D33 ^ (3000/500)))</f>
        <v>27.488076162656998</v>
      </c>
      <c r="X33" s="176"/>
      <c r="Y33" s="207">
        <f>SUM(500*(LOG(100/(B33*'Raw Values'!$E33)))/LOG('Raw Values'!$D33))</f>
        <v>4557.4353294920575</v>
      </c>
      <c r="Z33" s="15">
        <f>SUM(E33 * 1/'Raw Values'!$F33)</f>
        <v>364.43978125434103</v>
      </c>
      <c r="AA33" s="15">
        <f>SUM(G33 * 1/'Raw Values'!$F33)</f>
        <v>360.02650207930617</v>
      </c>
      <c r="AB33" s="15">
        <f>SUM(J33 * 1/'Raw Values'!$F33)</f>
        <v>353.50658781671081</v>
      </c>
      <c r="AC33" s="15">
        <f>SUM(P33 * 1/'Raw Values'!$F33)</f>
        <v>340.81883899040139</v>
      </c>
    </row>
    <row r="34" spans="1:29" ht="15.75" customHeight="1" x14ac:dyDescent="0.15">
      <c r="A34" s="35" t="s">
        <v>172</v>
      </c>
      <c r="B34" s="11">
        <f>'Raw Values'!C34</f>
        <v>38</v>
      </c>
      <c r="C34" s="15">
        <f>'Raw Values'!D34</f>
        <v>0.99</v>
      </c>
      <c r="D34" s="176"/>
      <c r="E34" s="15">
        <f>SUM('Raw Values'!$C34 * ('Raw Values'!$D34 ^ (100/500)))</f>
        <v>37.923694163134179</v>
      </c>
      <c r="F34" s="15">
        <f>SUM('Raw Values'!$C34 * ('Raw Values'!$D34 ^ (200/500)))</f>
        <v>37.847541552077303</v>
      </c>
      <c r="G34" s="15">
        <f>SUM('Raw Values'!$C34 * ('Raw Values'!$D34 ^ (300/500)))</f>
        <v>37.771541859144534</v>
      </c>
      <c r="H34" s="15">
        <f>SUM('Raw Values'!$C34 * ('Raw Values'!$D34 ^ (400/500)))</f>
        <v>37.695694777268898</v>
      </c>
      <c r="I34" s="15">
        <f>SUM('Raw Values'!$C34 * ('Raw Values'!$D34 ^ (500/500)))</f>
        <v>37.619999999999997</v>
      </c>
      <c r="J34" s="15">
        <f>SUM('Raw Values'!$C34 * ('Raw Values'!$D34 ^ (600/500)))</f>
        <v>37.544457221502839</v>
      </c>
      <c r="K34" s="15">
        <f>SUM('Raw Values'!$C34 * ('Raw Values'!$D34 ^ (700/500)))</f>
        <v>37.469066136556528</v>
      </c>
      <c r="L34" s="15">
        <f>SUM('Raw Values'!$C34 * ('Raw Values'!$D34 ^ (800/500)))</f>
        <v>37.393826440553092</v>
      </c>
      <c r="M34" s="15">
        <f>SUM('Raw Values'!$C34 * ('Raw Values'!$D34 ^ (900/500)))</f>
        <v>37.318737829496207</v>
      </c>
      <c r="N34" s="15">
        <f>SUM('Raw Values'!$C34 * ('Raw Values'!$D34 ^ (1000/500)))</f>
        <v>37.2438</v>
      </c>
      <c r="O34" s="15">
        <f>SUM('Raw Values'!$C34 * ('Raw Values'!$D34 ^ (1100/500)))</f>
        <v>37.169012649287808</v>
      </c>
      <c r="P34" s="15">
        <f>SUM('Raw Values'!$C34 * ('Raw Values'!$D34 ^ (1200/500)))</f>
        <v>37.094375475190965</v>
      </c>
      <c r="Q34" s="15">
        <f>SUM('Raw Values'!$C34 * ('Raw Values'!$D34 ^ (1300/500)))</f>
        <v>37.019888176147553</v>
      </c>
      <c r="R34" s="15">
        <f>SUM('Raw Values'!$C34 * ('Raw Values'!$D34 ^ (1400/500)))</f>
        <v>36.945550451201242</v>
      </c>
      <c r="S34" s="15">
        <f>SUM('Raw Values'!$C34 * ('Raw Values'!$D34 ^ (1500/500)))</f>
        <v>36.871361999999998</v>
      </c>
      <c r="T34" s="176"/>
      <c r="U34" s="15">
        <f>SUM('Raw Values'!$C34 * ('Raw Values'!$D34 ^ (2000/500)))</f>
        <v>36.502648379999997</v>
      </c>
      <c r="V34" s="15">
        <f>SUM('Raw Values'!$C34 * ('Raw Values'!$D34 ^ (2500/500)))</f>
        <v>36.137621896199995</v>
      </c>
      <c r="W34" s="15">
        <f>SUM('Raw Values'!$C34 * ('Raw Values'!$D34 ^ (3000/500)))</f>
        <v>35.776245677237995</v>
      </c>
      <c r="X34" s="176"/>
      <c r="Y34" s="207">
        <f>SUM(500*(LOG(100/(B34*'Raw Values'!$E34)))/LOG('Raw Values'!$D34))</f>
        <v>13830.903603992176</v>
      </c>
      <c r="Z34" s="15">
        <f>SUM(E34 * 1/'Raw Values'!$F34)</f>
        <v>379.23694163134178</v>
      </c>
      <c r="AA34" s="15">
        <f>SUM(G34 * 1/'Raw Values'!$F34)</f>
        <v>377.71541859144531</v>
      </c>
      <c r="AB34" s="15">
        <f>SUM(J34 * 1/'Raw Values'!$F34)</f>
        <v>375.44457221502836</v>
      </c>
      <c r="AC34" s="15">
        <f>SUM(P34 * 1/'Raw Values'!$F34)</f>
        <v>370.94375475190964</v>
      </c>
    </row>
    <row r="35" spans="1:29" ht="15.75" customHeight="1" x14ac:dyDescent="0.15">
      <c r="A35" s="36" t="s">
        <v>173</v>
      </c>
      <c r="B35" s="11">
        <f>'Raw Values'!C35</f>
        <v>30</v>
      </c>
      <c r="C35" s="15">
        <f>'Raw Values'!D35</f>
        <v>0.98</v>
      </c>
      <c r="D35" s="176"/>
      <c r="E35" s="15">
        <f>SUM('Raw Values'!$C35 * ('Raw Values'!$D35 ^ (100/500)))</f>
        <v>29.879028316228659</v>
      </c>
      <c r="F35" s="15">
        <f>SUM('Raw Values'!$C35 * ('Raw Values'!$D35 ^ (200/500)))</f>
        <v>29.758544437399799</v>
      </c>
      <c r="G35" s="15">
        <f>SUM('Raw Values'!$C35 * ('Raw Values'!$D35 ^ (300/500)))</f>
        <v>29.638546396493915</v>
      </c>
      <c r="H35" s="15">
        <f>SUM('Raw Values'!$C35 * ('Raw Values'!$D35 ^ (400/500)))</f>
        <v>29.519032234423285</v>
      </c>
      <c r="I35" s="15">
        <f>SUM('Raw Values'!$C35 * ('Raw Values'!$D35 ^ (500/500)))</f>
        <v>29.4</v>
      </c>
      <c r="J35" s="15">
        <f>SUM('Raw Values'!$C35 * ('Raw Values'!$D35 ^ (600/500)))</f>
        <v>29.281447749904085</v>
      </c>
      <c r="K35" s="15">
        <f>SUM('Raw Values'!$C35 * ('Raw Values'!$D35 ^ (700/500)))</f>
        <v>29.163373548651805</v>
      </c>
      <c r="L35" s="15">
        <f>SUM('Raw Values'!$C35 * ('Raw Values'!$D35 ^ (800/500)))</f>
        <v>29.045775468564038</v>
      </c>
      <c r="M35" s="15">
        <f>SUM('Raw Values'!$C35 * ('Raw Values'!$D35 ^ (900/500)))</f>
        <v>28.928651589734823</v>
      </c>
      <c r="N35" s="15">
        <f>SUM('Raw Values'!$C35 * ('Raw Values'!$D35 ^ (1000/500)))</f>
        <v>28.811999999999998</v>
      </c>
      <c r="O35" s="15">
        <f>SUM('Raw Values'!$C35 * ('Raw Values'!$D35 ^ (1100/500)))</f>
        <v>28.695818794906003</v>
      </c>
      <c r="P35" s="15">
        <f>SUM('Raw Values'!$C35 * ('Raw Values'!$D35 ^ (1200/500)))</f>
        <v>28.580106077678767</v>
      </c>
      <c r="Q35" s="15">
        <f>SUM('Raw Values'!$C35 * ('Raw Values'!$D35 ^ (1300/500)))</f>
        <v>28.464859959192758</v>
      </c>
      <c r="R35" s="15">
        <f>SUM('Raw Values'!$C35 * ('Raw Values'!$D35 ^ (1400/500)))</f>
        <v>28.350078557940126</v>
      </c>
      <c r="S35" s="15">
        <f>SUM('Raw Values'!$C35 * ('Raw Values'!$D35 ^ (1500/500)))</f>
        <v>28.235759999999999</v>
      </c>
      <c r="T35" s="176"/>
      <c r="U35" s="15">
        <f>SUM('Raw Values'!$C35 * ('Raw Values'!$D35 ^ (2000/500)))</f>
        <v>27.671044799999997</v>
      </c>
      <c r="V35" s="15">
        <f>SUM('Raw Values'!$C35 * ('Raw Values'!$D35 ^ (2500/500)))</f>
        <v>27.117623903999995</v>
      </c>
      <c r="W35" s="15">
        <f>SUM('Raw Values'!$C35 * ('Raw Values'!$D35 ^ (3000/500)))</f>
        <v>26.575271425919993</v>
      </c>
      <c r="X35" s="176"/>
      <c r="Y35" s="207">
        <f>SUM(500*(LOG(100/(B35*'Raw Values'!$E35)))/LOG('Raw Values'!$D35))</f>
        <v>4512.3050571506383</v>
      </c>
      <c r="Z35" s="15">
        <f>SUM(E35 * 1/'Raw Values'!$F35)</f>
        <v>271.62753014753326</v>
      </c>
      <c r="AA35" s="15">
        <f>SUM(G35 * 1/'Raw Values'!$F35)</f>
        <v>269.44133087721741</v>
      </c>
      <c r="AB35" s="15">
        <f>SUM(J35 * 1/'Raw Values'!$F35)</f>
        <v>266.19497954458257</v>
      </c>
      <c r="AC35" s="15">
        <f>SUM(P35 * 1/'Raw Values'!$F35)</f>
        <v>259.81914616071606</v>
      </c>
    </row>
    <row r="36" spans="1:29" ht="15.75" customHeight="1" x14ac:dyDescent="0.15">
      <c r="A36" s="39"/>
      <c r="B36" s="39"/>
      <c r="C36" s="41"/>
      <c r="D36" s="17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179"/>
      <c r="U36" s="39"/>
      <c r="V36" s="39"/>
      <c r="W36" s="39"/>
      <c r="X36" s="179"/>
      <c r="Y36" s="208"/>
      <c r="Z36" s="41"/>
      <c r="AA36" s="41"/>
      <c r="AB36" s="41"/>
      <c r="AC36" s="41"/>
    </row>
    <row r="37" spans="1:29" ht="15.75" customHeight="1" x14ac:dyDescent="0.15">
      <c r="A37" s="1" t="s">
        <v>79</v>
      </c>
      <c r="B37" s="2" t="s">
        <v>3</v>
      </c>
      <c r="C37" s="4" t="s">
        <v>93</v>
      </c>
      <c r="D37" s="204"/>
      <c r="E37" s="2" t="s">
        <v>239</v>
      </c>
      <c r="F37" s="2" t="s">
        <v>240</v>
      </c>
      <c r="G37" s="2" t="s">
        <v>241</v>
      </c>
      <c r="H37" s="2" t="s">
        <v>242</v>
      </c>
      <c r="I37" s="2" t="s">
        <v>243</v>
      </c>
      <c r="J37" s="2" t="s">
        <v>244</v>
      </c>
      <c r="K37" s="2" t="s">
        <v>245</v>
      </c>
      <c r="L37" s="2" t="s">
        <v>246</v>
      </c>
      <c r="M37" s="2" t="s">
        <v>247</v>
      </c>
      <c r="N37" s="2" t="s">
        <v>248</v>
      </c>
      <c r="O37" s="2" t="s">
        <v>249</v>
      </c>
      <c r="P37" s="2" t="s">
        <v>250</v>
      </c>
      <c r="Q37" s="2" t="s">
        <v>251</v>
      </c>
      <c r="R37" s="2" t="s">
        <v>252</v>
      </c>
      <c r="S37" s="2" t="s">
        <v>253</v>
      </c>
      <c r="T37" s="174"/>
      <c r="U37" s="205" t="s">
        <v>254</v>
      </c>
      <c r="V37" s="205" t="s">
        <v>255</v>
      </c>
      <c r="W37" s="205" t="s">
        <v>256</v>
      </c>
      <c r="X37" s="174"/>
      <c r="Y37" s="209" t="s">
        <v>257</v>
      </c>
      <c r="Z37" s="4" t="s">
        <v>258</v>
      </c>
      <c r="AA37" s="4" t="s">
        <v>259</v>
      </c>
      <c r="AB37" s="4" t="s">
        <v>260</v>
      </c>
      <c r="AC37" s="4" t="s">
        <v>261</v>
      </c>
    </row>
    <row r="38" spans="1:29" ht="15.75" customHeight="1" x14ac:dyDescent="0.15">
      <c r="A38" s="9" t="s">
        <v>174</v>
      </c>
      <c r="B38" s="11">
        <f>'Raw Values'!C38</f>
        <v>32</v>
      </c>
      <c r="C38" s="15">
        <f>'Raw Values'!D38</f>
        <v>0.97</v>
      </c>
      <c r="D38" s="176"/>
      <c r="E38" s="15">
        <f>SUM('Raw Values'!$C38 * ('Raw Values'!$D38 ^ (100/500)))</f>
        <v>31.805653636742488</v>
      </c>
      <c r="F38" s="15">
        <f>SUM('Raw Values'!$C38 * ('Raw Values'!$D38 ^ (200/500)))</f>
        <v>31.612487601888457</v>
      </c>
      <c r="G38" s="15">
        <f>SUM('Raw Values'!$C38 * ('Raw Values'!$D38 ^ (300/500)))</f>
        <v>31.420494726921262</v>
      </c>
      <c r="H38" s="15">
        <f>SUM('Raw Values'!$C38 * ('Raw Values'!$D38 ^ (400/500)))</f>
        <v>31.22966788686098</v>
      </c>
      <c r="I38" s="15">
        <f>SUM('Raw Values'!$C38 * ('Raw Values'!$D38 ^ (500/500)))</f>
        <v>31.04</v>
      </c>
      <c r="J38" s="15">
        <f>SUM('Raw Values'!$C38 * ('Raw Values'!$D38 ^ (600/500)))</f>
        <v>30.851484027640211</v>
      </c>
      <c r="K38" s="15">
        <f>SUM('Raw Values'!$C38 * ('Raw Values'!$D38 ^ (700/500)))</f>
        <v>30.664112973831802</v>
      </c>
      <c r="L38" s="15">
        <f>SUM('Raw Values'!$C38 * ('Raw Values'!$D38 ^ (800/500)))</f>
        <v>30.477879885113623</v>
      </c>
      <c r="M38" s="15">
        <f>SUM('Raw Values'!$C38 * ('Raw Values'!$D38 ^ (900/500)))</f>
        <v>30.292777850255149</v>
      </c>
      <c r="N38" s="15">
        <f>SUM('Raw Values'!$C38 * ('Raw Values'!$D38 ^ (1000/500)))</f>
        <v>30.108799999999999</v>
      </c>
      <c r="O38" s="15">
        <f>SUM('Raw Values'!$C38 * ('Raw Values'!$D38 ^ (1100/500)))</f>
        <v>29.925939506811005</v>
      </c>
      <c r="P38" s="15">
        <f>SUM('Raw Values'!$C38 * ('Raw Values'!$D38 ^ (1200/500)))</f>
        <v>29.744189584616848</v>
      </c>
      <c r="Q38" s="15">
        <f>SUM('Raw Values'!$C38 * ('Raw Values'!$D38 ^ (1300/500)))</f>
        <v>29.563543488560214</v>
      </c>
      <c r="R38" s="15">
        <f>SUM('Raw Values'!$C38 * ('Raw Values'!$D38 ^ (1400/500)))</f>
        <v>29.383994514747496</v>
      </c>
      <c r="S38" s="15">
        <f>SUM('Raw Values'!$C38 * ('Raw Values'!$D38 ^ (1500/500)))</f>
        <v>29.205535999999999</v>
      </c>
      <c r="T38" s="176"/>
      <c r="U38" s="15">
        <f>SUM('Raw Values'!$C38 * ('Raw Values'!$D38 ^ (2000/500)))</f>
        <v>28.329369919999998</v>
      </c>
      <c r="V38" s="15">
        <f>SUM('Raw Values'!$C38 * ('Raw Values'!$D38 ^ (2500/500)))</f>
        <v>27.479488822399997</v>
      </c>
      <c r="W38" s="15">
        <f>SUM('Raw Values'!$C38 * ('Raw Values'!$D38 ^ (3000/500)))</f>
        <v>26.655104157727997</v>
      </c>
      <c r="X38" s="176"/>
      <c r="Y38" s="207">
        <f>SUM(500*(LOG(100/(B38*'Raw Values'!$E38)))/LOG('Raw Values'!$D38))</f>
        <v>4052.3063191229926</v>
      </c>
      <c r="Z38" s="15">
        <f>SUM(E38 * 1/'Raw Values'!$F38)</f>
        <v>397.57067045928108</v>
      </c>
      <c r="AA38" s="15">
        <f>SUM(G38 * 1/'Raw Values'!$F38)</f>
        <v>392.75618408651576</v>
      </c>
      <c r="AB38" s="15">
        <f>SUM(J38 * 1/'Raw Values'!$F38)</f>
        <v>385.6435503455026</v>
      </c>
      <c r="AC38" s="15">
        <f>SUM(P38 * 1/'Raw Values'!$F38)</f>
        <v>371.80236980771059</v>
      </c>
    </row>
    <row r="39" spans="1:29" ht="15.75" customHeight="1" x14ac:dyDescent="0.15">
      <c r="A39" s="9" t="s">
        <v>176</v>
      </c>
      <c r="B39" s="11">
        <f>'Raw Values'!C39</f>
        <v>35</v>
      </c>
      <c r="C39" s="15">
        <f>'Raw Values'!D39</f>
        <v>0.97</v>
      </c>
      <c r="D39" s="176"/>
      <c r="E39" s="15">
        <f>SUM('Raw Values'!$C39 * ('Raw Values'!$D39 ^ (100/500)))</f>
        <v>34.787433665187095</v>
      </c>
      <c r="F39" s="15">
        <f>SUM('Raw Values'!$C39 * ('Raw Values'!$D39 ^ (200/500)))</f>
        <v>34.576158314565497</v>
      </c>
      <c r="G39" s="15">
        <f>SUM('Raw Values'!$C39 * ('Raw Values'!$D39 ^ (300/500)))</f>
        <v>34.36616610757013</v>
      </c>
      <c r="H39" s="15">
        <f>SUM('Raw Values'!$C39 * ('Raw Values'!$D39 ^ (400/500)))</f>
        <v>34.157449251254199</v>
      </c>
      <c r="I39" s="15">
        <f>SUM('Raw Values'!$C39 * ('Raw Values'!$D39 ^ (500/500)))</f>
        <v>33.949999999999996</v>
      </c>
      <c r="J39" s="15">
        <f>SUM('Raw Values'!$C39 * ('Raw Values'!$D39 ^ (600/500)))</f>
        <v>33.743810655231478</v>
      </c>
      <c r="K39" s="15">
        <f>SUM('Raw Values'!$C39 * ('Raw Values'!$D39 ^ (700/500)))</f>
        <v>33.538873565128533</v>
      </c>
      <c r="L39" s="15">
        <f>SUM('Raw Values'!$C39 * ('Raw Values'!$D39 ^ (800/500)))</f>
        <v>33.335181124343023</v>
      </c>
      <c r="M39" s="15">
        <f>SUM('Raw Values'!$C39 * ('Raw Values'!$D39 ^ (900/500)))</f>
        <v>33.132725773716572</v>
      </c>
      <c r="N39" s="15">
        <f>SUM('Raw Values'!$C39 * ('Raw Values'!$D39 ^ (1000/500)))</f>
        <v>32.9315</v>
      </c>
      <c r="O39" s="15">
        <f>SUM('Raw Values'!$C39 * ('Raw Values'!$D39 ^ (1100/500)))</f>
        <v>32.731496335574533</v>
      </c>
      <c r="P39" s="15">
        <f>SUM('Raw Values'!$C39 * ('Raw Values'!$D39 ^ (1200/500)))</f>
        <v>32.532707358174676</v>
      </c>
      <c r="Q39" s="15">
        <f>SUM('Raw Values'!$C39 * ('Raw Values'!$D39 ^ (1300/500)))</f>
        <v>32.335125690612735</v>
      </c>
      <c r="R39" s="15">
        <f>SUM('Raw Values'!$C39 * ('Raw Values'!$D39 ^ (1400/500)))</f>
        <v>32.138744000505071</v>
      </c>
      <c r="S39" s="15">
        <f>SUM('Raw Values'!$C39 * ('Raw Values'!$D39 ^ (1500/500)))</f>
        <v>31.943555</v>
      </c>
      <c r="T39" s="176"/>
      <c r="U39" s="15">
        <f>SUM('Raw Values'!$C39 * ('Raw Values'!$D39 ^ (2000/500)))</f>
        <v>30.985248349999999</v>
      </c>
      <c r="V39" s="15">
        <f>SUM('Raw Values'!$C39 * ('Raw Values'!$D39 ^ (2500/500)))</f>
        <v>30.055690899499997</v>
      </c>
      <c r="W39" s="15">
        <f>SUM('Raw Values'!$C39 * ('Raw Values'!$D39 ^ (3000/500)))</f>
        <v>29.154020172514997</v>
      </c>
      <c r="X39" s="176"/>
      <c r="Y39" s="207">
        <f>SUM(500*(LOG(100/(B39*'Raw Values'!$E39)))/LOG('Raw Values'!$D39))</f>
        <v>5523.3255295649424</v>
      </c>
      <c r="Z39" s="15">
        <f>SUM(E39 * 1/'Raw Values'!$F39)</f>
        <v>463.83244886916128</v>
      </c>
      <c r="AA39" s="15">
        <f>SUM(G39 * 1/'Raw Values'!$F39)</f>
        <v>458.21554810093511</v>
      </c>
      <c r="AB39" s="15">
        <f>SUM(J39 * 1/'Raw Values'!$F39)</f>
        <v>449.91747540308637</v>
      </c>
      <c r="AC39" s="15">
        <f>SUM(P39 * 1/'Raw Values'!$F39)</f>
        <v>433.76943144232905</v>
      </c>
    </row>
    <row r="40" spans="1:29" ht="15.75" customHeight="1" x14ac:dyDescent="0.15">
      <c r="A40" s="39"/>
      <c r="B40" s="39"/>
      <c r="C40" s="41"/>
      <c r="D40" s="17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179"/>
      <c r="U40" s="39"/>
      <c r="V40" s="39"/>
      <c r="W40" s="39"/>
      <c r="X40" s="179"/>
      <c r="Y40" s="208"/>
      <c r="Z40" s="41"/>
      <c r="AA40" s="41"/>
      <c r="AB40" s="41"/>
      <c r="AC40" s="41"/>
    </row>
    <row r="41" spans="1:29" ht="15.75" customHeight="1" x14ac:dyDescent="0.15">
      <c r="A41" s="1" t="s">
        <v>82</v>
      </c>
      <c r="B41" s="2" t="s">
        <v>3</v>
      </c>
      <c r="C41" s="4" t="s">
        <v>93</v>
      </c>
      <c r="D41" s="204"/>
      <c r="E41" s="2" t="s">
        <v>239</v>
      </c>
      <c r="F41" s="2" t="s">
        <v>240</v>
      </c>
      <c r="G41" s="2" t="s">
        <v>241</v>
      </c>
      <c r="H41" s="2" t="s">
        <v>242</v>
      </c>
      <c r="I41" s="2" t="s">
        <v>243</v>
      </c>
      <c r="J41" s="2" t="s">
        <v>244</v>
      </c>
      <c r="K41" s="2" t="s">
        <v>245</v>
      </c>
      <c r="L41" s="2" t="s">
        <v>246</v>
      </c>
      <c r="M41" s="2" t="s">
        <v>247</v>
      </c>
      <c r="N41" s="2" t="s">
        <v>248</v>
      </c>
      <c r="O41" s="2" t="s">
        <v>249</v>
      </c>
      <c r="P41" s="2" t="s">
        <v>250</v>
      </c>
      <c r="Q41" s="2" t="s">
        <v>251</v>
      </c>
      <c r="R41" s="2" t="s">
        <v>252</v>
      </c>
      <c r="S41" s="2" t="s">
        <v>253</v>
      </c>
      <c r="T41" s="174"/>
      <c r="U41" s="205" t="s">
        <v>254</v>
      </c>
      <c r="V41" s="205" t="s">
        <v>255</v>
      </c>
      <c r="W41" s="205" t="s">
        <v>256</v>
      </c>
      <c r="X41" s="174"/>
      <c r="Y41" s="209" t="s">
        <v>257</v>
      </c>
      <c r="Z41" s="4" t="s">
        <v>258</v>
      </c>
      <c r="AA41" s="4" t="s">
        <v>259</v>
      </c>
      <c r="AB41" s="4" t="s">
        <v>260</v>
      </c>
      <c r="AC41" s="4" t="s">
        <v>261</v>
      </c>
    </row>
    <row r="42" spans="1:29" ht="15.75" customHeight="1" x14ac:dyDescent="0.15">
      <c r="A42" s="9" t="s">
        <v>177</v>
      </c>
      <c r="B42" s="11">
        <f>'Raw Values'!C42</f>
        <v>115</v>
      </c>
      <c r="C42" s="15">
        <f>'Raw Values'!D42</f>
        <v>0.99</v>
      </c>
      <c r="D42" s="176"/>
      <c r="E42" s="15">
        <f>SUM('Raw Values'!$C42 * ('Raw Values'!$D42 ^ (100/500)))</f>
        <v>114.76907444106398</v>
      </c>
      <c r="F42" s="15">
        <f>SUM('Raw Values'!$C42 * ('Raw Values'!$D42 ^ (200/500)))</f>
        <v>114.53861259181289</v>
      </c>
      <c r="G42" s="15">
        <f>SUM('Raw Values'!$C42 * ('Raw Values'!$D42 ^ (300/500)))</f>
        <v>114.30861352109531</v>
      </c>
      <c r="H42" s="15">
        <f>SUM('Raw Values'!$C42 * ('Raw Values'!$D42 ^ (400/500)))</f>
        <v>114.07907629962955</v>
      </c>
      <c r="I42" s="15">
        <f>SUM('Raw Values'!$C42 * ('Raw Values'!$D42 ^ (500/500)))</f>
        <v>113.85</v>
      </c>
      <c r="J42" s="15">
        <f>SUM('Raw Values'!$C42 * ('Raw Values'!$D42 ^ (600/500)))</f>
        <v>113.62138369665333</v>
      </c>
      <c r="K42" s="15">
        <f>SUM('Raw Values'!$C42 * ('Raw Values'!$D42 ^ (700/500)))</f>
        <v>113.39322646589477</v>
      </c>
      <c r="L42" s="15">
        <f>SUM('Raw Values'!$C42 * ('Raw Values'!$D42 ^ (800/500)))</f>
        <v>113.16552738588435</v>
      </c>
      <c r="M42" s="15">
        <f>SUM('Raw Values'!$C42 * ('Raw Values'!$D42 ^ (900/500)))</f>
        <v>112.93828553663326</v>
      </c>
      <c r="N42" s="15">
        <f>SUM('Raw Values'!$C42 * ('Raw Values'!$D42 ^ (1000/500)))</f>
        <v>112.7115</v>
      </c>
      <c r="O42" s="15">
        <f>SUM('Raw Values'!$C42 * ('Raw Values'!$D42 ^ (1100/500)))</f>
        <v>112.48516985968679</v>
      </c>
      <c r="P42" s="15">
        <f>SUM('Raw Values'!$C42 * ('Raw Values'!$D42 ^ (1200/500)))</f>
        <v>112.25929420123582</v>
      </c>
      <c r="Q42" s="15">
        <f>SUM('Raw Values'!$C42 * ('Raw Values'!$D42 ^ (1300/500)))</f>
        <v>112.03387211202551</v>
      </c>
      <c r="R42" s="15">
        <f>SUM('Raw Values'!$C42 * ('Raw Values'!$D42 ^ (1400/500)))</f>
        <v>111.80890268126691</v>
      </c>
      <c r="S42" s="15">
        <f>SUM('Raw Values'!$C42 * ('Raw Values'!$D42 ^ (1500/500)))</f>
        <v>111.58438499999998</v>
      </c>
      <c r="T42" s="176"/>
      <c r="U42" s="15">
        <f>SUM('Raw Values'!$C42 * ('Raw Values'!$D42 ^ (2000/500)))</f>
        <v>110.46854114999999</v>
      </c>
      <c r="V42" s="15">
        <f>SUM('Raw Values'!$C42 * ('Raw Values'!$D42 ^ (2500/500)))</f>
        <v>109.36385573849999</v>
      </c>
      <c r="W42" s="15">
        <f>SUM('Raw Values'!$C42 * ('Raw Values'!$D42 ^ (3000/500)))</f>
        <v>108.27021718111499</v>
      </c>
      <c r="X42" s="176"/>
      <c r="Y42" s="207">
        <f>SUM(500*(LOG(100/(B42*'Raw Values'!$E42)))/LOG('Raw Values'!$D42))</f>
        <v>75920.66204252193</v>
      </c>
      <c r="Z42" s="15">
        <f>SUM(E42 * 1/'Raw Values'!$F42)</f>
        <v>78.879088962930567</v>
      </c>
      <c r="AA42" s="15">
        <f>SUM(G42 * 1/'Raw Values'!$F42)</f>
        <v>78.562620976697801</v>
      </c>
      <c r="AB42" s="15">
        <f>SUM(J42 * 1/'Raw Values'!$F42)</f>
        <v>78.090298073301255</v>
      </c>
      <c r="AC42" s="15">
        <f>SUM(P42 * 1/'Raw Values'!$F42)</f>
        <v>77.154154090196428</v>
      </c>
    </row>
    <row r="43" spans="1:29" ht="15.75" customHeight="1" x14ac:dyDescent="0.15">
      <c r="A43" s="36" t="s">
        <v>179</v>
      </c>
      <c r="B43" s="11">
        <f>'Raw Values'!C43</f>
        <v>80</v>
      </c>
      <c r="C43" s="15">
        <f>'Raw Values'!D43</f>
        <v>0.98</v>
      </c>
      <c r="D43" s="176"/>
      <c r="E43" s="15">
        <f>SUM('Raw Values'!$C43 * ('Raw Values'!$D43 ^ (100/500)))</f>
        <v>79.677408843276424</v>
      </c>
      <c r="F43" s="15">
        <f>SUM('Raw Values'!$C43 * ('Raw Values'!$D43 ^ (200/500)))</f>
        <v>79.356118499732801</v>
      </c>
      <c r="G43" s="15">
        <f>SUM('Raw Values'!$C43 * ('Raw Values'!$D43 ^ (300/500)))</f>
        <v>79.036123723983778</v>
      </c>
      <c r="H43" s="15">
        <f>SUM('Raw Values'!$C43 * ('Raw Values'!$D43 ^ (400/500)))</f>
        <v>78.717419291795437</v>
      </c>
      <c r="I43" s="15">
        <f>SUM('Raw Values'!$C43 * ('Raw Values'!$D43 ^ (500/500)))</f>
        <v>78.400000000000006</v>
      </c>
      <c r="J43" s="15">
        <f>SUM('Raw Values'!$C43 * ('Raw Values'!$D43 ^ (600/500)))</f>
        <v>78.083860666410899</v>
      </c>
      <c r="K43" s="15">
        <f>SUM('Raw Values'!$C43 * ('Raw Values'!$D43 ^ (700/500)))</f>
        <v>77.768996129738142</v>
      </c>
      <c r="L43" s="15">
        <f>SUM('Raw Values'!$C43 * ('Raw Values'!$D43 ^ (800/500)))</f>
        <v>77.455401249504106</v>
      </c>
      <c r="M43" s="15">
        <f>SUM('Raw Values'!$C43 * ('Raw Values'!$D43 ^ (900/500)))</f>
        <v>77.143070905959533</v>
      </c>
      <c r="N43" s="15">
        <f>SUM('Raw Values'!$C43 * ('Raw Values'!$D43 ^ (1000/500)))</f>
        <v>76.831999999999994</v>
      </c>
      <c r="O43" s="15">
        <f>SUM('Raw Values'!$C43 * ('Raw Values'!$D43 ^ (1100/500)))</f>
        <v>76.522183453082675</v>
      </c>
      <c r="P43" s="15">
        <f>SUM('Raw Values'!$C43 * ('Raw Values'!$D43 ^ (1200/500)))</f>
        <v>76.213616207143374</v>
      </c>
      <c r="Q43" s="15">
        <f>SUM('Raw Values'!$C43 * ('Raw Values'!$D43 ^ (1300/500)))</f>
        <v>75.90629322451403</v>
      </c>
      <c r="R43" s="15">
        <f>SUM('Raw Values'!$C43 * ('Raw Values'!$D43 ^ (1400/500)))</f>
        <v>75.600209487840331</v>
      </c>
      <c r="S43" s="15">
        <f>SUM('Raw Values'!$C43 * ('Raw Values'!$D43 ^ (1500/500)))</f>
        <v>75.295359999999988</v>
      </c>
      <c r="T43" s="176"/>
      <c r="U43" s="15">
        <f>SUM('Raw Values'!$C43 * ('Raw Values'!$D43 ^ (2000/500)))</f>
        <v>73.789452799999992</v>
      </c>
      <c r="V43" s="15">
        <f>SUM('Raw Values'!$C43 * ('Raw Values'!$D43 ^ (2500/500)))</f>
        <v>72.313663743999982</v>
      </c>
      <c r="W43" s="15">
        <f>SUM('Raw Values'!$C43 * ('Raw Values'!$D43 ^ (3000/500)))</f>
        <v>70.867390469119982</v>
      </c>
      <c r="X43" s="176"/>
      <c r="Y43" s="207">
        <f>SUM(500*(LOG(100/(B43*'Raw Values'!$E43)))/LOG('Raw Values'!$D43))</f>
        <v>28787.003432876914</v>
      </c>
      <c r="Z43" s="15">
        <f>SUM(E43 * 1/'Raw Values'!$F43)</f>
        <v>318.7096353731057</v>
      </c>
      <c r="AA43" s="15">
        <f>SUM(G43 * 1/'Raw Values'!$F43)</f>
        <v>316.14449489593511</v>
      </c>
      <c r="AB43" s="15">
        <f>SUM(J43 * 1/'Raw Values'!$F43)</f>
        <v>312.3354426656436</v>
      </c>
      <c r="AC43" s="15">
        <f>SUM(P43 * 1/'Raw Values'!$F43)</f>
        <v>304.8544648285735</v>
      </c>
    </row>
    <row r="44" spans="1:29" ht="15.75" customHeight="1" x14ac:dyDescent="0.15">
      <c r="A44" s="35" t="s">
        <v>180</v>
      </c>
      <c r="B44" s="11">
        <f>'Raw Values'!C44</f>
        <v>80</v>
      </c>
      <c r="C44" s="15">
        <f>'Raw Values'!D44</f>
        <v>0.98</v>
      </c>
      <c r="D44" s="176"/>
      <c r="E44" s="15">
        <f>SUM('Raw Values'!$C44 * ('Raw Values'!$D44 ^ (100/500)))</f>
        <v>79.677408843276424</v>
      </c>
      <c r="F44" s="15">
        <f>SUM('Raw Values'!$C44 * ('Raw Values'!$D44 ^ (200/500)))</f>
        <v>79.356118499732801</v>
      </c>
      <c r="G44" s="15">
        <f>SUM('Raw Values'!$C44 * ('Raw Values'!$D44 ^ (300/500)))</f>
        <v>79.036123723983778</v>
      </c>
      <c r="H44" s="15">
        <f>SUM('Raw Values'!$C44 * ('Raw Values'!$D44 ^ (400/500)))</f>
        <v>78.717419291795437</v>
      </c>
      <c r="I44" s="15">
        <f>SUM('Raw Values'!$C44 * ('Raw Values'!$D44 ^ (500/500)))</f>
        <v>78.400000000000006</v>
      </c>
      <c r="J44" s="15">
        <f>SUM('Raw Values'!$C44 * ('Raw Values'!$D44 ^ (600/500)))</f>
        <v>78.083860666410899</v>
      </c>
      <c r="K44" s="15">
        <f>SUM('Raw Values'!$C44 * ('Raw Values'!$D44 ^ (700/500)))</f>
        <v>77.768996129738142</v>
      </c>
      <c r="L44" s="15">
        <f>SUM('Raw Values'!$C44 * ('Raw Values'!$D44 ^ (800/500)))</f>
        <v>77.455401249504106</v>
      </c>
      <c r="M44" s="15">
        <f>SUM('Raw Values'!$C44 * ('Raw Values'!$D44 ^ (900/500)))</f>
        <v>77.143070905959533</v>
      </c>
      <c r="N44" s="15">
        <f>SUM('Raw Values'!$C44 * ('Raw Values'!$D44 ^ (1000/500)))</f>
        <v>76.831999999999994</v>
      </c>
      <c r="O44" s="15">
        <f>SUM('Raw Values'!$C44 * ('Raw Values'!$D44 ^ (1100/500)))</f>
        <v>76.522183453082675</v>
      </c>
      <c r="P44" s="15">
        <f>SUM('Raw Values'!$C44 * ('Raw Values'!$D44 ^ (1200/500)))</f>
        <v>76.213616207143374</v>
      </c>
      <c r="Q44" s="15">
        <f>SUM('Raw Values'!$C44 * ('Raw Values'!$D44 ^ (1300/500)))</f>
        <v>75.90629322451403</v>
      </c>
      <c r="R44" s="15">
        <f>SUM('Raw Values'!$C44 * ('Raw Values'!$D44 ^ (1400/500)))</f>
        <v>75.600209487840331</v>
      </c>
      <c r="S44" s="15">
        <f>SUM('Raw Values'!$C44 * ('Raw Values'!$D44 ^ (1500/500)))</f>
        <v>75.295359999999988</v>
      </c>
      <c r="T44" s="176"/>
      <c r="U44" s="15">
        <f>SUM('Raw Values'!$C44 * ('Raw Values'!$D44 ^ (2000/500)))</f>
        <v>73.789452799999992</v>
      </c>
      <c r="V44" s="15">
        <f>SUM('Raw Values'!$C44 * ('Raw Values'!$D44 ^ (2500/500)))</f>
        <v>72.313663743999982</v>
      </c>
      <c r="W44" s="15">
        <f>SUM('Raw Values'!$C44 * ('Raw Values'!$D44 ^ (3000/500)))</f>
        <v>70.867390469119982</v>
      </c>
      <c r="X44" s="176"/>
      <c r="Y44" s="207">
        <f>SUM(500*(LOG(100/(B44*'Raw Values'!$E44)))/LOG('Raw Values'!$D44))</f>
        <v>28787.003432876914</v>
      </c>
      <c r="Z44" s="15">
        <f>SUM(E44 * 1/'Raw Values'!$F44)</f>
        <v>318.7096353731057</v>
      </c>
      <c r="AA44" s="15">
        <f>SUM(G44 * 1/'Raw Values'!$F44)</f>
        <v>316.14449489593511</v>
      </c>
      <c r="AB44" s="15">
        <f>SUM(J44 * 1/'Raw Values'!$F44)</f>
        <v>312.3354426656436</v>
      </c>
      <c r="AC44" s="15">
        <f>SUM(P44 * 1/'Raw Values'!$F44)</f>
        <v>304.8544648285735</v>
      </c>
    </row>
    <row r="45" spans="1:29" ht="15.75" customHeight="1" x14ac:dyDescent="0.15">
      <c r="A45" s="9" t="s">
        <v>181</v>
      </c>
      <c r="B45" s="11">
        <f>'Raw Values'!C45</f>
        <v>88</v>
      </c>
      <c r="C45" s="15">
        <f>'Raw Values'!D45</f>
        <v>0.98</v>
      </c>
      <c r="D45" s="176"/>
      <c r="E45" s="15">
        <f>SUM('Raw Values'!$C45 * ('Raw Values'!$D45 ^ (100/500)))</f>
        <v>87.645149727604064</v>
      </c>
      <c r="F45" s="15">
        <f>SUM('Raw Values'!$C45 * ('Raw Values'!$D45 ^ (200/500)))</f>
        <v>87.291730349706086</v>
      </c>
      <c r="G45" s="15">
        <f>SUM('Raw Values'!$C45 * ('Raw Values'!$D45 ^ (300/500)))</f>
        <v>86.939736096382148</v>
      </c>
      <c r="H45" s="15">
        <f>SUM('Raw Values'!$C45 * ('Raw Values'!$D45 ^ (400/500)))</f>
        <v>86.589161220974972</v>
      </c>
      <c r="I45" s="15">
        <f>SUM('Raw Values'!$C45 * ('Raw Values'!$D45 ^ (500/500)))</f>
        <v>86.24</v>
      </c>
      <c r="J45" s="15">
        <f>SUM('Raw Values'!$C45 * ('Raw Values'!$D45 ^ (600/500)))</f>
        <v>85.892246733051991</v>
      </c>
      <c r="K45" s="15">
        <f>SUM('Raw Values'!$C45 * ('Raw Values'!$D45 ^ (700/500)))</f>
        <v>85.545895742711963</v>
      </c>
      <c r="L45" s="15">
        <f>SUM('Raw Values'!$C45 * ('Raw Values'!$D45 ^ (800/500)))</f>
        <v>85.200941374454516</v>
      </c>
      <c r="M45" s="15">
        <f>SUM('Raw Values'!$C45 * ('Raw Values'!$D45 ^ (900/500)))</f>
        <v>84.857377996555485</v>
      </c>
      <c r="N45" s="15">
        <f>SUM('Raw Values'!$C45 * ('Raw Values'!$D45 ^ (1000/500)))</f>
        <v>84.515199999999993</v>
      </c>
      <c r="O45" s="15">
        <f>SUM('Raw Values'!$C45 * ('Raw Values'!$D45 ^ (1100/500)))</f>
        <v>84.174401798390946</v>
      </c>
      <c r="P45" s="15">
        <f>SUM('Raw Values'!$C45 * ('Raw Values'!$D45 ^ (1200/500)))</f>
        <v>83.834977827857713</v>
      </c>
      <c r="Q45" s="15">
        <f>SUM('Raw Values'!$C45 * ('Raw Values'!$D45 ^ (1300/500)))</f>
        <v>83.496922546965422</v>
      </c>
      <c r="R45" s="15">
        <f>SUM('Raw Values'!$C45 * ('Raw Values'!$D45 ^ (1400/500)))</f>
        <v>83.16023043662436</v>
      </c>
      <c r="S45" s="15">
        <f>SUM('Raw Values'!$C45 * ('Raw Values'!$D45 ^ (1500/500)))</f>
        <v>82.824895999999995</v>
      </c>
      <c r="T45" s="176"/>
      <c r="U45" s="15">
        <f>SUM('Raw Values'!$C45 * ('Raw Values'!$D45 ^ (2000/500)))</f>
        <v>81.168398079999989</v>
      </c>
      <c r="V45" s="15">
        <f>SUM('Raw Values'!$C45 * ('Raw Values'!$D45 ^ (2500/500)))</f>
        <v>79.545030118399978</v>
      </c>
      <c r="W45" s="15">
        <f>SUM('Raw Values'!$C45 * ('Raw Values'!$D45 ^ (3000/500)))</f>
        <v>77.954129516031983</v>
      </c>
      <c r="X45" s="176"/>
      <c r="Y45" s="207">
        <f>SUM(500*(LOG(100/(B45*'Raw Values'!$E45)))/LOG('Raw Values'!$D45))</f>
        <v>31145.85015342692</v>
      </c>
      <c r="Z45" s="15">
        <f>SUM(E45 * 1/'Raw Values'!$F45)</f>
        <v>70.116119782083246</v>
      </c>
      <c r="AA45" s="15">
        <f>SUM(G45 * 1/'Raw Values'!$F45)</f>
        <v>69.551788877105722</v>
      </c>
      <c r="AB45" s="15">
        <f>SUM(J45 * 1/'Raw Values'!$F45)</f>
        <v>68.713797386441598</v>
      </c>
      <c r="AC45" s="15">
        <f>SUM(P45 * 1/'Raw Values'!$F45)</f>
        <v>67.067982262286165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E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4" width="11.6640625" customWidth="1"/>
    <col min="5" max="5" width="4.5" customWidth="1"/>
    <col min="6" max="20" width="11.6640625" customWidth="1"/>
    <col min="21" max="21" width="4.5" customWidth="1"/>
    <col min="22" max="24" width="11.6640625" customWidth="1"/>
    <col min="25" max="25" width="4.5" customWidth="1"/>
    <col min="26" max="31" width="11.6640625" customWidth="1"/>
  </cols>
  <sheetData>
    <row r="1" spans="1:31" ht="15.75" customHeight="1" x14ac:dyDescent="0.15">
      <c r="A1" s="1" t="s">
        <v>0</v>
      </c>
      <c r="B1" s="66" t="s">
        <v>262</v>
      </c>
      <c r="C1" s="210" t="s">
        <v>3</v>
      </c>
      <c r="D1" s="4" t="s">
        <v>93</v>
      </c>
      <c r="E1" s="204"/>
      <c r="F1" s="2" t="s">
        <v>239</v>
      </c>
      <c r="G1" s="2" t="s">
        <v>240</v>
      </c>
      <c r="H1" s="2" t="s">
        <v>241</v>
      </c>
      <c r="I1" s="2" t="s">
        <v>242</v>
      </c>
      <c r="J1" s="2" t="s">
        <v>243</v>
      </c>
      <c r="K1" s="2" t="s">
        <v>244</v>
      </c>
      <c r="L1" s="2" t="s">
        <v>245</v>
      </c>
      <c r="M1" s="2" t="s">
        <v>246</v>
      </c>
      <c r="N1" s="2" t="s">
        <v>247</v>
      </c>
      <c r="O1" s="2" t="s">
        <v>248</v>
      </c>
      <c r="P1" s="2" t="s">
        <v>249</v>
      </c>
      <c r="Q1" s="2" t="s">
        <v>250</v>
      </c>
      <c r="R1" s="2" t="s">
        <v>251</v>
      </c>
      <c r="S1" s="2" t="s">
        <v>252</v>
      </c>
      <c r="T1" s="2" t="s">
        <v>253</v>
      </c>
      <c r="U1" s="174"/>
      <c r="V1" s="205" t="s">
        <v>254</v>
      </c>
      <c r="W1" s="205" t="s">
        <v>255</v>
      </c>
      <c r="X1" s="205" t="s">
        <v>256</v>
      </c>
      <c r="Y1" s="174"/>
      <c r="Z1" s="211" t="s">
        <v>263</v>
      </c>
      <c r="AA1" s="206" t="s">
        <v>257</v>
      </c>
      <c r="AB1" s="4" t="s">
        <v>258</v>
      </c>
      <c r="AC1" s="4" t="s">
        <v>259</v>
      </c>
      <c r="AD1" s="4" t="s">
        <v>260</v>
      </c>
      <c r="AE1" s="4" t="s">
        <v>261</v>
      </c>
    </row>
    <row r="2" spans="1:31" ht="15.75" customHeight="1" x14ac:dyDescent="0.15">
      <c r="A2" s="9" t="s">
        <v>142</v>
      </c>
      <c r="B2" s="212">
        <f>'Raw Values'!B2</f>
        <v>1.8640000000000001</v>
      </c>
      <c r="C2" s="18">
        <f>'Raw Values'!C2</f>
        <v>53</v>
      </c>
      <c r="D2" s="15">
        <f>'Raw Values'!D2</f>
        <v>0.85</v>
      </c>
      <c r="E2" s="176"/>
      <c r="F2" s="15">
        <f>SUM('Raw Values'!$C2 * 'Raw Values'!$B2/2 * ('Raw Values'!$D2 ^ (100/500)))</f>
        <v>47.816255903982572</v>
      </c>
      <c r="G2" s="15">
        <f>SUM('Raw Values'!$C2 * 'Raw Values'!$B2/2 * ('Raw Values'!$D2 ^ (200/500)))</f>
        <v>46.287033943540933</v>
      </c>
      <c r="H2" s="15">
        <f>SUM('Raw Values'!$C2 * 'Raw Values'!$B2/2 * ('Raw Values'!$D2 ^ (300/500)))</f>
        <v>44.806718359395106</v>
      </c>
      <c r="I2" s="15">
        <f>SUM('Raw Values'!$C2 * 'Raw Values'!$B2/2 * ('Raw Values'!$D2 ^ (400/500)))</f>
        <v>43.373745066210027</v>
      </c>
      <c r="J2" s="15">
        <f>SUM('Raw Values'!$C2 * 'Raw Values'!$B2/2 * ('Raw Values'!$D2 ^ (500/500)))</f>
        <v>41.986600000000003</v>
      </c>
      <c r="K2" s="15">
        <f>SUM('Raw Values'!$C2 * 'Raw Values'!$B2/2 * ('Raw Values'!$D2 ^ (600/500)))</f>
        <v>40.643817518385184</v>
      </c>
      <c r="L2" s="15">
        <f>SUM('Raw Values'!$C2 * 'Raw Values'!$B2/2 * ('Raw Values'!$D2 ^ (700/500)))</f>
        <v>39.343978852009791</v>
      </c>
      <c r="M2" s="15">
        <f>SUM('Raw Values'!$C2 * 'Raw Values'!$B2/2 * ('Raw Values'!$D2 ^ (800/500)))</f>
        <v>38.085710605485836</v>
      </c>
      <c r="N2" s="15">
        <f>SUM('Raw Values'!$C2 * 'Raw Values'!$B2/2 * ('Raw Values'!$D2 ^ (900/500)))</f>
        <v>36.867683306278522</v>
      </c>
      <c r="O2" s="15">
        <f>SUM('Raw Values'!$C2 * 'Raw Values'!$B2/2 * ('Raw Values'!$D2 ^ (1000/500)))</f>
        <v>35.688609999999997</v>
      </c>
      <c r="P2" s="15">
        <f>SUM('Raw Values'!$C2 * 'Raw Values'!$B2/2 * ('Raw Values'!$D2 ^ (1100/500)))</f>
        <v>34.547244890627404</v>
      </c>
      <c r="Q2" s="15">
        <f>SUM('Raw Values'!$C2 * 'Raw Values'!$B2/2 * ('Raw Values'!$D2 ^ (1200/500)))</f>
        <v>33.442382024208321</v>
      </c>
      <c r="R2" s="15">
        <f>SUM('Raw Values'!$C2 * 'Raw Values'!$B2/2 * ('Raw Values'!$D2 ^ (1300/500)))</f>
        <v>32.372854014662963</v>
      </c>
      <c r="S2" s="15">
        <f>SUM('Raw Values'!$C2 * 'Raw Values'!$B2/2 * ('Raw Values'!$D2 ^ (1400/500)))</f>
        <v>31.337530810336741</v>
      </c>
      <c r="T2" s="15">
        <f>SUM('Raw Values'!$C2 * 'Raw Values'!$B2/2 * ('Raw Values'!$D2 ^ (1500/500)))</f>
        <v>30.335318499999996</v>
      </c>
      <c r="U2" s="176"/>
      <c r="V2" s="15">
        <f>SUM('Raw Values'!$C2 * 'Raw Values'!$B2/2 * ('Raw Values'!$D2 ^ (2000/500)))</f>
        <v>25.785020724999995</v>
      </c>
      <c r="W2" s="15">
        <f>SUM('Raw Values'!$C2 * 'Raw Values'!$B2/2 * ('Raw Values'!$D2 ^ (2500/500)))</f>
        <v>21.917267616249994</v>
      </c>
      <c r="X2" s="15">
        <f>SUM('Raw Values'!$C2 * 'Raw Values'!$B2/2 * ('Raw Values'!$D2 ^ (3000/500)))</f>
        <v>18.629677473812496</v>
      </c>
      <c r="Y2" s="176"/>
      <c r="Z2" s="213">
        <f>SUM(500*(LOG(50/(C2*'Raw Values'!$E2*B2/2))/LOG('Raw Values'!$D2)))</f>
        <v>4149.741205935944</v>
      </c>
      <c r="AA2" s="213">
        <f>SUM(500*(LOG(100/(C2*'Raw Values'!$E2*B2/2)))/LOG('Raw Values'!$D2))</f>
        <v>2017.2290650365812</v>
      </c>
      <c r="AB2" s="15">
        <f>SUM(F2 * 1/'Raw Values'!$F2)</f>
        <v>212.51669290658921</v>
      </c>
      <c r="AC2" s="15">
        <f>SUM(H2 * 1/'Raw Values'!$F2)</f>
        <v>199.14097048620047</v>
      </c>
      <c r="AD2" s="15">
        <f>SUM(K2 * 1/'Raw Values'!$F2)</f>
        <v>180.63918897060083</v>
      </c>
      <c r="AE2" s="15">
        <f>SUM(Q2 * 1/'Raw Values'!$F2)</f>
        <v>148.63280899648143</v>
      </c>
    </row>
    <row r="3" spans="1:31" ht="15.75" customHeight="1" x14ac:dyDescent="0.15">
      <c r="A3" s="9" t="s">
        <v>144</v>
      </c>
      <c r="B3" s="212">
        <f>'Raw Values'!B3</f>
        <v>1.8640000000000001</v>
      </c>
      <c r="C3" s="18">
        <f>'Raw Values'!C3</f>
        <v>86</v>
      </c>
      <c r="D3" s="15">
        <f>'Raw Values'!D3</f>
        <v>0.94</v>
      </c>
      <c r="E3" s="176"/>
      <c r="F3" s="15">
        <f>SUM('Raw Values'!$C3 * 'Raw Values'!$B3/2 * ('Raw Values'!$D3 ^ (100/500)))</f>
        <v>79.16622463343576</v>
      </c>
      <c r="G3" s="15">
        <f>SUM('Raw Values'!$C3 * 'Raw Values'!$B3/2 * ('Raw Values'!$D3 ^ (200/500)))</f>
        <v>78.192573144919777</v>
      </c>
      <c r="H3" s="15">
        <f>SUM('Raw Values'!$C3 * 'Raw Values'!$B3/2 * ('Raw Values'!$D3 ^ (300/500)))</f>
        <v>77.230896425005938</v>
      </c>
      <c r="I3" s="15">
        <f>SUM('Raw Values'!$C3 * 'Raw Values'!$B3/2 * ('Raw Values'!$D3 ^ (400/500)))</f>
        <v>76.281047198118941</v>
      </c>
      <c r="J3" s="15">
        <f>SUM('Raw Values'!$C3 * 'Raw Values'!$B3/2 * ('Raw Values'!$D3 ^ (500/500)))</f>
        <v>75.342879999999994</v>
      </c>
      <c r="K3" s="15">
        <f>SUM('Raw Values'!$C3 * 'Raw Values'!$B3/2 * ('Raw Values'!$D3 ^ (600/500)))</f>
        <v>74.416251155429606</v>
      </c>
      <c r="L3" s="15">
        <f>SUM('Raw Values'!$C3 * 'Raw Values'!$B3/2 * ('Raw Values'!$D3 ^ (700/500)))</f>
        <v>73.501018756224582</v>
      </c>
      <c r="M3" s="15">
        <f>SUM('Raw Values'!$C3 * 'Raw Values'!$B3/2 * ('Raw Values'!$D3 ^ (800/500)))</f>
        <v>72.597042639505574</v>
      </c>
      <c r="N3" s="15">
        <f>SUM('Raw Values'!$C3 * 'Raw Values'!$B3/2 * ('Raw Values'!$D3 ^ (900/500)))</f>
        <v>71.7041843662318</v>
      </c>
      <c r="O3" s="15">
        <f>SUM('Raw Values'!$C3 * 'Raw Values'!$B3/2 * ('Raw Values'!$D3 ^ (1000/500)))</f>
        <v>70.822307199999997</v>
      </c>
      <c r="P3" s="15">
        <f>SUM('Raw Values'!$C3 * 'Raw Values'!$B3/2 * ('Raw Values'!$D3 ^ (1100/500)))</f>
        <v>69.951276086103832</v>
      </c>
      <c r="Q3" s="15">
        <f>SUM('Raw Values'!$C3 * 'Raw Values'!$B3/2 * ('Raw Values'!$D3 ^ (1200/500)))</f>
        <v>69.090957630851108</v>
      </c>
      <c r="R3" s="15">
        <f>SUM('Raw Values'!$C3 * 'Raw Values'!$B3/2 * ('Raw Values'!$D3 ^ (1300/500)))</f>
        <v>68.241220081135225</v>
      </c>
      <c r="S3" s="15">
        <f>SUM('Raw Values'!$C3 * 'Raw Values'!$B3/2 * ('Raw Values'!$D3 ^ (1400/500)))</f>
        <v>67.401933304257895</v>
      </c>
      <c r="T3" s="15">
        <f>SUM('Raw Values'!$C3 * 'Raw Values'!$B3/2 * ('Raw Values'!$D3 ^ (1500/500)))</f>
        <v>66.572968767999996</v>
      </c>
      <c r="U3" s="176"/>
      <c r="V3" s="15">
        <f>SUM('Raw Values'!$C3 * 'Raw Values'!$B3/2 * ('Raw Values'!$D3 ^ (2000/500)))</f>
        <v>62.578590641919995</v>
      </c>
      <c r="W3" s="15">
        <f>SUM('Raw Values'!$C3 * 'Raw Values'!$B3/2 * ('Raw Values'!$D3 ^ (2500/500)))</f>
        <v>58.823875203404789</v>
      </c>
      <c r="X3" s="15">
        <f>SUM('Raw Values'!$C3 * 'Raw Values'!$B3/2 * ('Raw Values'!$D3 ^ (3000/500)))</f>
        <v>55.294442691200508</v>
      </c>
      <c r="Y3" s="176"/>
      <c r="Z3" s="213">
        <f>SUM(500*(LOG(50/(C3*'Raw Values'!$E3*B3/2))/LOG('Raw Values'!$D3)))</f>
        <v>15015.628795853136</v>
      </c>
      <c r="AA3" s="213">
        <f>SUM(500*(LOG(100/(C3*'Raw Values'!$E3*B3/2)))/LOG('Raw Values'!$D3))</f>
        <v>9414.4760040425554</v>
      </c>
      <c r="AB3" s="15">
        <f>SUM(F3 * 1/'Raw Values'!$F3)</f>
        <v>158.33244926687152</v>
      </c>
      <c r="AC3" s="15">
        <f>SUM(H3 * 1/'Raw Values'!$F3)</f>
        <v>154.46179285001188</v>
      </c>
      <c r="AD3" s="15">
        <f>SUM(K3 * 1/'Raw Values'!$F3)</f>
        <v>148.83250231085921</v>
      </c>
      <c r="AE3" s="15">
        <f>SUM(Q3 * 1/'Raw Values'!$F3)</f>
        <v>138.18191526170222</v>
      </c>
    </row>
    <row r="4" spans="1:31" ht="15.75" customHeight="1" x14ac:dyDescent="0.15">
      <c r="A4" s="9" t="s">
        <v>145</v>
      </c>
      <c r="B4" s="212">
        <f>'Raw Values'!B4</f>
        <v>1.1499999999999999</v>
      </c>
      <c r="C4" s="18">
        <f>'Raw Values'!C4</f>
        <v>38</v>
      </c>
      <c r="D4" s="15">
        <f>'Raw Values'!D4</f>
        <v>0.79</v>
      </c>
      <c r="E4" s="176"/>
      <c r="F4" s="15">
        <f>SUM('Raw Values'!$C4 * 'Raw Values'!$B4/2 * ('Raw Values'!$D4 ^ (100/500)))</f>
        <v>20.843798185000459</v>
      </c>
      <c r="G4" s="15">
        <f>SUM('Raw Values'!$C4 * 'Raw Values'!$B4/2 * ('Raw Values'!$D4 ^ (200/500)))</f>
        <v>19.88393239254135</v>
      </c>
      <c r="H4" s="15">
        <f>SUM('Raw Values'!$C4 * 'Raw Values'!$B4/2 * ('Raw Values'!$D4 ^ (300/500)))</f>
        <v>18.968268829030904</v>
      </c>
      <c r="I4" s="15">
        <f>SUM('Raw Values'!$C4 * 'Raw Values'!$B4/2 * ('Raw Values'!$D4 ^ (400/500)))</f>
        <v>18.09477196298193</v>
      </c>
      <c r="J4" s="15">
        <f>SUM('Raw Values'!$C4 * 'Raw Values'!$B4/2 * ('Raw Values'!$D4 ^ (500/500)))</f>
        <v>17.261499999999998</v>
      </c>
      <c r="K4" s="15">
        <f>SUM('Raw Values'!$C4 * 'Raw Values'!$B4/2 * ('Raw Values'!$D4 ^ (600/500)))</f>
        <v>16.466600566150365</v>
      </c>
      <c r="L4" s="15">
        <f>SUM('Raw Values'!$C4 * 'Raw Values'!$B4/2 * ('Raw Values'!$D4 ^ (700/500)))</f>
        <v>15.708306590107666</v>
      </c>
      <c r="M4" s="15">
        <f>SUM('Raw Values'!$C4 * 'Raw Values'!$B4/2 * ('Raw Values'!$D4 ^ (800/500)))</f>
        <v>14.984932374934415</v>
      </c>
      <c r="N4" s="15">
        <f>SUM('Raw Values'!$C4 * 'Raw Values'!$B4/2 * ('Raw Values'!$D4 ^ (900/500)))</f>
        <v>14.294869850755726</v>
      </c>
      <c r="O4" s="15">
        <f>SUM('Raw Values'!$C4 * 'Raw Values'!$B4/2 * ('Raw Values'!$D4 ^ (1000/500)))</f>
        <v>13.636585</v>
      </c>
      <c r="P4" s="15">
        <f>SUM('Raw Values'!$C4 * 'Raw Values'!$B4/2 * ('Raw Values'!$D4 ^ (1100/500)))</f>
        <v>13.008614447258788</v>
      </c>
      <c r="Q4" s="15">
        <f>SUM('Raw Values'!$C4 * 'Raw Values'!$B4/2 * ('Raw Values'!$D4 ^ (1200/500)))</f>
        <v>12.409562206185058</v>
      </c>
      <c r="R4" s="15">
        <f>SUM('Raw Values'!$C4 * 'Raw Values'!$B4/2 * ('Raw Values'!$D4 ^ (1300/500)))</f>
        <v>11.838096576198186</v>
      </c>
      <c r="S4" s="15">
        <f>SUM('Raw Values'!$C4 * 'Raw Values'!$B4/2 * ('Raw Values'!$D4 ^ (1400/500)))</f>
        <v>11.292947182097024</v>
      </c>
      <c r="T4" s="15">
        <f>SUM('Raw Values'!$C4 * 'Raw Values'!$B4/2 * ('Raw Values'!$D4 ^ (1500/500)))</f>
        <v>10.772902150000002</v>
      </c>
      <c r="U4" s="176"/>
      <c r="V4" s="15">
        <f>SUM('Raw Values'!$C4 * 'Raw Values'!$B4/2 * ('Raw Values'!$D4 ^ (2000/500)))</f>
        <v>8.5105926985000018</v>
      </c>
      <c r="W4" s="15">
        <f>SUM('Raw Values'!$C4 * 'Raw Values'!$B4/2 * ('Raw Values'!$D4 ^ (2500/500)))</f>
        <v>6.7233682318150016</v>
      </c>
      <c r="X4" s="15">
        <f>SUM('Raw Values'!$C4 * 'Raw Values'!$B4/2 * ('Raw Values'!$D4 ^ (3000/500)))</f>
        <v>5.3114609031338524</v>
      </c>
      <c r="Y4" s="176"/>
      <c r="Z4" s="213">
        <f>SUM(500*(LOG(50/(C4*'Raw Values'!$E4*B4/2))/LOG('Raw Values'!$D4)))</f>
        <v>1184.5977190435058</v>
      </c>
      <c r="AA4" s="213" t="s">
        <v>236</v>
      </c>
      <c r="AB4" s="15">
        <f>SUM(F4 * 1/'Raw Values'!$F4)</f>
        <v>173.69831820833716</v>
      </c>
      <c r="AC4" s="15">
        <f>SUM(H4 * 1/'Raw Values'!$F4)</f>
        <v>158.06890690859089</v>
      </c>
      <c r="AD4" s="15">
        <f>SUM(K4 * 1/'Raw Values'!$F4)</f>
        <v>137.22167138458639</v>
      </c>
      <c r="AE4" s="15">
        <f>SUM(Q4 * 1/'Raw Values'!$F4)</f>
        <v>103.41301838487549</v>
      </c>
    </row>
    <row r="5" spans="1:31" ht="15.75" customHeight="1" x14ac:dyDescent="0.15">
      <c r="A5" s="35" t="s">
        <v>146</v>
      </c>
      <c r="B5" s="212">
        <f>'Raw Values'!B5</f>
        <v>1.823</v>
      </c>
      <c r="C5" s="18">
        <f>'Raw Values'!C5</f>
        <v>32</v>
      </c>
      <c r="D5" s="15">
        <f>'Raw Values'!D5</f>
        <v>0.81</v>
      </c>
      <c r="E5" s="176"/>
      <c r="F5" s="15">
        <f>SUM('Raw Values'!$C5 * 'Raw Values'!$B5/2 * ('Raw Values'!$D5 ^ (100/500)))</f>
        <v>27.964280844517681</v>
      </c>
      <c r="G5" s="15">
        <f>SUM('Raw Values'!$C5 * 'Raw Values'!$B5/2 * ('Raw Values'!$D5 ^ (200/500)))</f>
        <v>26.810237354328667</v>
      </c>
      <c r="H5" s="15">
        <f>SUM('Raw Values'!$C5 * 'Raw Values'!$B5/2 * ('Raw Values'!$D5 ^ (300/500)))</f>
        <v>25.703819490010474</v>
      </c>
      <c r="I5" s="15">
        <f>SUM('Raw Values'!$C5 * 'Raw Values'!$B5/2 * ('Raw Values'!$D5 ^ (400/500)))</f>
        <v>24.643061814160731</v>
      </c>
      <c r="J5" s="15">
        <f>SUM('Raw Values'!$C5 * 'Raw Values'!$B5/2 * ('Raw Values'!$D5 ^ (500/500)))</f>
        <v>23.626080000000002</v>
      </c>
      <c r="K5" s="15">
        <f>SUM('Raw Values'!$C5 * 'Raw Values'!$B5/2 * ('Raw Values'!$D5 ^ (600/500)))</f>
        <v>22.651067484059325</v>
      </c>
      <c r="L5" s="15">
        <f>SUM('Raw Values'!$C5 * 'Raw Values'!$B5/2 * ('Raw Values'!$D5 ^ (700/500)))</f>
        <v>21.71629225700622</v>
      </c>
      <c r="M5" s="15">
        <f>SUM('Raw Values'!$C5 * 'Raw Values'!$B5/2 * ('Raw Values'!$D5 ^ (800/500)))</f>
        <v>20.820093786908487</v>
      </c>
      <c r="N5" s="15">
        <f>SUM('Raw Values'!$C5 * 'Raw Values'!$B5/2 * ('Raw Values'!$D5 ^ (900/500)))</f>
        <v>19.960880069470193</v>
      </c>
      <c r="O5" s="15">
        <f>SUM('Raw Values'!$C5 * 'Raw Values'!$B5/2 * ('Raw Values'!$D5 ^ (1000/500)))</f>
        <v>19.137124800000002</v>
      </c>
      <c r="P5" s="15">
        <f>SUM('Raw Values'!$C5 * 'Raw Values'!$B5/2 * ('Raw Values'!$D5 ^ (1100/500)))</f>
        <v>18.347364662088051</v>
      </c>
      <c r="Q5" s="15">
        <f>SUM('Raw Values'!$C5 * 'Raw Values'!$B5/2 * ('Raw Values'!$D5 ^ (1200/500)))</f>
        <v>17.590196728175041</v>
      </c>
      <c r="R5" s="15">
        <f>SUM('Raw Values'!$C5 * 'Raw Values'!$B5/2 * ('Raw Values'!$D5 ^ (1300/500)))</f>
        <v>16.864275967395873</v>
      </c>
      <c r="S5" s="15">
        <f>SUM('Raw Values'!$C5 * 'Raw Values'!$B5/2 * ('Raw Values'!$D5 ^ (1400/500)))</f>
        <v>16.168312856270855</v>
      </c>
      <c r="T5" s="15">
        <f>SUM('Raw Values'!$C5 * 'Raw Values'!$B5/2 * ('Raw Values'!$D5 ^ (1500/500)))</f>
        <v>15.501071088000005</v>
      </c>
      <c r="U5" s="176"/>
      <c r="V5" s="15">
        <f>SUM('Raw Values'!$C5 * 'Raw Values'!$B5/2 * ('Raw Values'!$D5 ^ (2000/500)))</f>
        <v>12.555867581280005</v>
      </c>
      <c r="W5" s="15">
        <f>SUM('Raw Values'!$C5 * 'Raw Values'!$B5/2 * ('Raw Values'!$D5 ^ (2500/500)))</f>
        <v>10.170252740836805</v>
      </c>
      <c r="X5" s="15">
        <f>SUM('Raw Values'!$C5 * 'Raw Values'!$B5/2 * ('Raw Values'!$D5 ^ (3000/500)))</f>
        <v>8.2379047200778128</v>
      </c>
      <c r="Y5" s="176"/>
      <c r="Z5" s="213">
        <f>SUM(500*(LOG(50/(C5*'Raw Values'!$E5*B5/2))/LOG('Raw Values'!$D5)))</f>
        <v>2010.5814031413925</v>
      </c>
      <c r="AA5" s="213">
        <f>SUM(500*(LOG(100/(C5*'Raw Values'!$E5*B5/2)))/LOG('Raw Values'!$D5))</f>
        <v>365.87803340124555</v>
      </c>
      <c r="AB5" s="15">
        <f>SUM(F5 * 1/'Raw Values'!$F5)</f>
        <v>186.42853896345122</v>
      </c>
      <c r="AC5" s="15">
        <f>SUM(H5 * 1/'Raw Values'!$F5)</f>
        <v>171.35879660006984</v>
      </c>
      <c r="AD5" s="15">
        <f>SUM(K5 * 1/'Raw Values'!$F5)</f>
        <v>151.0071165603955</v>
      </c>
      <c r="AE5" s="15">
        <f>SUM(Q5 * 1/'Raw Values'!$F5)</f>
        <v>117.26797818783361</v>
      </c>
    </row>
    <row r="6" spans="1:31" ht="15.75" customHeight="1" x14ac:dyDescent="0.15">
      <c r="A6" s="36" t="s">
        <v>147</v>
      </c>
      <c r="B6" s="212">
        <f>'Raw Values'!B6</f>
        <v>0.94</v>
      </c>
      <c r="C6" s="18">
        <f>'Raw Values'!C6</f>
        <v>30</v>
      </c>
      <c r="D6" s="15">
        <f>'Raw Values'!D6</f>
        <v>0.85</v>
      </c>
      <c r="E6" s="176"/>
      <c r="F6" s="15">
        <f>SUM('Raw Values'!$C6 * 'Raw Values'!$B6/2 * ('Raw Values'!$D6 ^ (100/500)))</f>
        <v>13.649064868534987</v>
      </c>
      <c r="G6" s="15">
        <f>SUM('Raw Values'!$C6 * 'Raw Values'!$B6/2 * ('Raw Values'!$D6 ^ (200/500)))</f>
        <v>13.21255119045929</v>
      </c>
      <c r="H6" s="15">
        <f>SUM('Raw Values'!$C6 * 'Raw Values'!$B6/2 * ('Raw Values'!$D6 ^ (300/500)))</f>
        <v>12.789997750171491</v>
      </c>
      <c r="I6" s="15">
        <f>SUM('Raw Values'!$C6 * 'Raw Values'!$B6/2 * ('Raw Values'!$D6 ^ (400/500)))</f>
        <v>12.380958082305478</v>
      </c>
      <c r="J6" s="15">
        <f>SUM('Raw Values'!$C6 * 'Raw Values'!$B6/2 * ('Raw Values'!$D6 ^ (500/500)))</f>
        <v>11.984999999999999</v>
      </c>
      <c r="K6" s="15">
        <f>SUM('Raw Values'!$C6 * 'Raw Values'!$B6/2 * ('Raw Values'!$D6 ^ (600/500)))</f>
        <v>11.601705138254738</v>
      </c>
      <c r="L6" s="15">
        <f>SUM('Raw Values'!$C6 * 'Raw Values'!$B6/2 * ('Raw Values'!$D6 ^ (700/500)))</f>
        <v>11.230668511890396</v>
      </c>
      <c r="M6" s="15">
        <f>SUM('Raw Values'!$C6 * 'Raw Values'!$B6/2 * ('Raw Values'!$D6 ^ (800/500)))</f>
        <v>10.871498087645767</v>
      </c>
      <c r="N6" s="15">
        <f>SUM('Raw Values'!$C6 * 'Raw Values'!$B6/2 * ('Raw Values'!$D6 ^ (900/500)))</f>
        <v>10.523814369959656</v>
      </c>
      <c r="O6" s="15">
        <f>SUM('Raw Values'!$C6 * 'Raw Values'!$B6/2 * ('Raw Values'!$D6 ^ (1000/500)))</f>
        <v>10.187249999999999</v>
      </c>
      <c r="P6" s="15">
        <f>SUM('Raw Values'!$C6 * 'Raw Values'!$B6/2 * ('Raw Values'!$D6 ^ (1100/500)))</f>
        <v>9.8614493675165278</v>
      </c>
      <c r="Q6" s="15">
        <f>SUM('Raw Values'!$C6 * 'Raw Values'!$B6/2 * ('Raw Values'!$D6 ^ (1200/500)))</f>
        <v>9.5460682351068371</v>
      </c>
      <c r="R6" s="15">
        <f>SUM('Raw Values'!$C6 * 'Raw Values'!$B6/2 * ('Raw Values'!$D6 ^ (1300/500)))</f>
        <v>9.240773374498902</v>
      </c>
      <c r="S6" s="15">
        <f>SUM('Raw Values'!$C6 * 'Raw Values'!$B6/2 * ('Raw Values'!$D6 ^ (1400/500)))</f>
        <v>8.945242214465706</v>
      </c>
      <c r="T6" s="15">
        <f>SUM('Raw Values'!$C6 * 'Raw Values'!$B6/2 * ('Raw Values'!$D6 ^ (1500/500)))</f>
        <v>8.659162499999999</v>
      </c>
      <c r="U6" s="176"/>
      <c r="V6" s="15">
        <f>SUM('Raw Values'!$C6 * 'Raw Values'!$B6/2 * ('Raw Values'!$D6 ^ (2000/500)))</f>
        <v>7.3602881249999985</v>
      </c>
      <c r="W6" s="15">
        <f>SUM('Raw Values'!$C6 * 'Raw Values'!$B6/2 * ('Raw Values'!$D6 ^ (2500/500)))</f>
        <v>6.2562449062499983</v>
      </c>
      <c r="X6" s="15">
        <f>SUM('Raw Values'!$C6 * 'Raw Values'!$B6/2 * ('Raw Values'!$D6 ^ (3000/500)))</f>
        <v>5.3178081703124978</v>
      </c>
      <c r="Y6" s="176"/>
      <c r="Z6" s="213">
        <f>SUM(500*(LOG(50/(C6*'Raw Values'!$E6*B6/2))/LOG('Raw Values'!$D6)))</f>
        <v>370.56038163700833</v>
      </c>
      <c r="AA6" s="213" t="s">
        <v>236</v>
      </c>
      <c r="AB6" s="15">
        <f>SUM(F6 * 1/'Raw Values'!$F6)</f>
        <v>90.993765790233255</v>
      </c>
      <c r="AC6" s="15">
        <f>SUM(H6 * 1/'Raw Values'!$F6)</f>
        <v>85.266651667809938</v>
      </c>
      <c r="AD6" s="15">
        <f>SUM(K6 * 1/'Raw Values'!$F6)</f>
        <v>77.344700921698262</v>
      </c>
      <c r="AE6" s="15">
        <f>SUM(Q6 * 1/'Raw Values'!$F6)</f>
        <v>63.64045490071225</v>
      </c>
    </row>
    <row r="7" spans="1:31" ht="15.75" customHeight="1" x14ac:dyDescent="0.15">
      <c r="A7" s="35" t="s">
        <v>148</v>
      </c>
      <c r="B7" s="212">
        <f>'Raw Values'!B7</f>
        <v>1.01</v>
      </c>
      <c r="C7" s="18">
        <f>'Raw Values'!C7</f>
        <v>35</v>
      </c>
      <c r="D7" s="15">
        <f>'Raw Values'!D7</f>
        <v>0.91</v>
      </c>
      <c r="E7" s="176"/>
      <c r="F7" s="15">
        <f>SUM('Raw Values'!$C7 * 'Raw Values'!$B7/2 * ('Raw Values'!$D7 ^ (100/500)))</f>
        <v>17.344736279374363</v>
      </c>
      <c r="G7" s="15">
        <f>SUM('Raw Values'!$C7 * 'Raw Values'!$B7/2 * ('Raw Values'!$D7 ^ (200/500)))</f>
        <v>17.020643654938905</v>
      </c>
      <c r="H7" s="15">
        <f>SUM('Raw Values'!$C7 * 'Raw Values'!$B7/2 * ('Raw Values'!$D7 ^ (300/500)))</f>
        <v>16.702606817545789</v>
      </c>
      <c r="I7" s="15">
        <f>SUM('Raw Values'!$C7 * 'Raw Values'!$B7/2 * ('Raw Values'!$D7 ^ (400/500)))</f>
        <v>16.390512612639998</v>
      </c>
      <c r="J7" s="15">
        <f>SUM('Raw Values'!$C7 * 'Raw Values'!$B7/2 * ('Raw Values'!$D7 ^ (500/500)))</f>
        <v>16.084250000000001</v>
      </c>
      <c r="K7" s="15">
        <f>SUM('Raw Values'!$C7 * 'Raw Values'!$B7/2 * ('Raw Values'!$D7 ^ (600/500)))</f>
        <v>15.783710014230669</v>
      </c>
      <c r="L7" s="15">
        <f>SUM('Raw Values'!$C7 * 'Raw Values'!$B7/2 * ('Raw Values'!$D7 ^ (700/500)))</f>
        <v>15.488785725994402</v>
      </c>
      <c r="M7" s="15">
        <f>SUM('Raw Values'!$C7 * 'Raw Values'!$B7/2 * ('Raw Values'!$D7 ^ (800/500)))</f>
        <v>15.19937220396667</v>
      </c>
      <c r="N7" s="15">
        <f>SUM('Raw Values'!$C7 * 'Raw Values'!$B7/2 * ('Raw Values'!$D7 ^ (900/500)))</f>
        <v>14.915366477502401</v>
      </c>
      <c r="O7" s="15">
        <f>SUM('Raw Values'!$C7 * 'Raw Values'!$B7/2 * ('Raw Values'!$D7 ^ (1000/500)))</f>
        <v>14.636667500000001</v>
      </c>
      <c r="P7" s="15">
        <f>SUM('Raw Values'!$C7 * 'Raw Values'!$B7/2 * ('Raw Values'!$D7 ^ (1100/500)))</f>
        <v>14.363176112949908</v>
      </c>
      <c r="Q7" s="15">
        <f>SUM('Raw Values'!$C7 * 'Raw Values'!$B7/2 * ('Raw Values'!$D7 ^ (1200/500)))</f>
        <v>14.094795010654908</v>
      </c>
      <c r="R7" s="15">
        <f>SUM('Raw Values'!$C7 * 'Raw Values'!$B7/2 * ('Raw Values'!$D7 ^ (1300/500)))</f>
        <v>13.831428705609669</v>
      </c>
      <c r="S7" s="15">
        <f>SUM('Raw Values'!$C7 * 'Raw Values'!$B7/2 * ('Raw Values'!$D7 ^ (1400/500)))</f>
        <v>13.572983494527184</v>
      </c>
      <c r="T7" s="15">
        <f>SUM('Raw Values'!$C7 * 'Raw Values'!$B7/2 * ('Raw Values'!$D7 ^ (1500/500)))</f>
        <v>13.319367425000003</v>
      </c>
      <c r="U7" s="176"/>
      <c r="V7" s="15">
        <f>SUM('Raw Values'!$C7 * 'Raw Values'!$B7/2 * ('Raw Values'!$D7 ^ (2000/500)))</f>
        <v>12.120624356750003</v>
      </c>
      <c r="W7" s="15">
        <f>SUM('Raw Values'!$C7 * 'Raw Values'!$B7/2 * ('Raw Values'!$D7 ^ (2500/500)))</f>
        <v>11.029768164642503</v>
      </c>
      <c r="X7" s="15">
        <f>SUM('Raw Values'!$C7 * 'Raw Values'!$B7/2 * ('Raw Values'!$D7 ^ (3000/500)))</f>
        <v>10.037089029824678</v>
      </c>
      <c r="Y7" s="176"/>
      <c r="Z7" s="213">
        <f>SUM(500*(LOG(50/(C7*'Raw Values'!$E7*B7/2))/LOG('Raw Values'!$D7)))</f>
        <v>1836.6030730380737</v>
      </c>
      <c r="AA7" s="213" t="s">
        <v>236</v>
      </c>
      <c r="AB7" s="15">
        <f>SUM(F7 * 1/'Raw Values'!$F7)</f>
        <v>102.02786046690801</v>
      </c>
      <c r="AC7" s="15">
        <f>SUM(H7 * 1/'Raw Values'!$F7)</f>
        <v>98.250628338504626</v>
      </c>
      <c r="AD7" s="15">
        <f>SUM(K7 * 1/'Raw Values'!$F7)</f>
        <v>92.845353024886279</v>
      </c>
      <c r="AE7" s="15">
        <f>SUM(Q7 * 1/'Raw Values'!$F7)</f>
        <v>82.910558886205337</v>
      </c>
    </row>
    <row r="8" spans="1:31" ht="15.75" customHeight="1" x14ac:dyDescent="0.15">
      <c r="A8" s="35" t="s">
        <v>149</v>
      </c>
      <c r="B8" s="212">
        <f>'Raw Values'!B8</f>
        <v>1.01</v>
      </c>
      <c r="C8" s="18">
        <f>'Raw Values'!C8</f>
        <v>35</v>
      </c>
      <c r="D8" s="15">
        <f>'Raw Values'!D8</f>
        <v>0.91</v>
      </c>
      <c r="E8" s="176"/>
      <c r="F8" s="15">
        <f>SUM('Raw Values'!$C8 * 'Raw Values'!$B8/2 * ('Raw Values'!$D8 ^ (100/500)))</f>
        <v>17.344736279374363</v>
      </c>
      <c r="G8" s="15">
        <f>SUM('Raw Values'!$C8 * 'Raw Values'!$B8/2 * ('Raw Values'!$D8 ^ (200/500)))</f>
        <v>17.020643654938905</v>
      </c>
      <c r="H8" s="15">
        <f>SUM('Raw Values'!$C8 * 'Raw Values'!$B8/2 * ('Raw Values'!$D8 ^ (300/500)))</f>
        <v>16.702606817545789</v>
      </c>
      <c r="I8" s="15">
        <f>SUM('Raw Values'!$C8 * 'Raw Values'!$B8/2 * ('Raw Values'!$D8 ^ (400/500)))</f>
        <v>16.390512612639998</v>
      </c>
      <c r="J8" s="15">
        <f>SUM('Raw Values'!$C8 * 'Raw Values'!$B8/2 * ('Raw Values'!$D8 ^ (500/500)))</f>
        <v>16.084250000000001</v>
      </c>
      <c r="K8" s="15">
        <f>SUM('Raw Values'!$C8 * 'Raw Values'!$B8/2 * ('Raw Values'!$D8 ^ (600/500)))</f>
        <v>15.783710014230669</v>
      </c>
      <c r="L8" s="15">
        <f>SUM('Raw Values'!$C8 * 'Raw Values'!$B8/2 * ('Raw Values'!$D8 ^ (700/500)))</f>
        <v>15.488785725994402</v>
      </c>
      <c r="M8" s="15">
        <f>SUM('Raw Values'!$C8 * 'Raw Values'!$B8/2 * ('Raw Values'!$D8 ^ (800/500)))</f>
        <v>15.19937220396667</v>
      </c>
      <c r="N8" s="15">
        <f>SUM('Raw Values'!$C8 * 'Raw Values'!$B8/2 * ('Raw Values'!$D8 ^ (900/500)))</f>
        <v>14.915366477502401</v>
      </c>
      <c r="O8" s="15">
        <f>SUM('Raw Values'!$C8 * 'Raw Values'!$B8/2 * ('Raw Values'!$D8 ^ (1000/500)))</f>
        <v>14.636667500000001</v>
      </c>
      <c r="P8" s="15">
        <f>SUM('Raw Values'!$C8 * 'Raw Values'!$B8/2 * ('Raw Values'!$D8 ^ (1100/500)))</f>
        <v>14.363176112949908</v>
      </c>
      <c r="Q8" s="15">
        <f>SUM('Raw Values'!$C8 * 'Raw Values'!$B8/2 * ('Raw Values'!$D8 ^ (1200/500)))</f>
        <v>14.094795010654908</v>
      </c>
      <c r="R8" s="15">
        <f>SUM('Raw Values'!$C8 * 'Raw Values'!$B8/2 * ('Raw Values'!$D8 ^ (1300/500)))</f>
        <v>13.831428705609669</v>
      </c>
      <c r="S8" s="15">
        <f>SUM('Raw Values'!$C8 * 'Raw Values'!$B8/2 * ('Raw Values'!$D8 ^ (1400/500)))</f>
        <v>13.572983494527184</v>
      </c>
      <c r="T8" s="15">
        <f>SUM('Raw Values'!$C8 * 'Raw Values'!$B8/2 * ('Raw Values'!$D8 ^ (1500/500)))</f>
        <v>13.319367425000003</v>
      </c>
      <c r="U8" s="176"/>
      <c r="V8" s="15">
        <f>SUM('Raw Values'!$C8 * 'Raw Values'!$B8/2 * ('Raw Values'!$D8 ^ (2000/500)))</f>
        <v>12.120624356750003</v>
      </c>
      <c r="W8" s="15">
        <f>SUM('Raw Values'!$C8 * 'Raw Values'!$B8/2 * ('Raw Values'!$D8 ^ (2500/500)))</f>
        <v>11.029768164642503</v>
      </c>
      <c r="X8" s="15">
        <f>SUM('Raw Values'!$C8 * 'Raw Values'!$B8/2 * ('Raw Values'!$D8 ^ (3000/500)))</f>
        <v>10.037089029824678</v>
      </c>
      <c r="Y8" s="176"/>
      <c r="Z8" s="213">
        <f>SUM(500*(LOG(50/(C8*'Raw Values'!$E8*B8/2))/LOG('Raw Values'!$D8)))</f>
        <v>1836.6030730380737</v>
      </c>
      <c r="AA8" s="213" t="s">
        <v>236</v>
      </c>
      <c r="AB8" s="15">
        <f>SUM(F8 * 1/'Raw Values'!$F8)</f>
        <v>102.02786046690801</v>
      </c>
      <c r="AC8" s="15">
        <f>SUM(H8 * 1/'Raw Values'!$F8)</f>
        <v>98.250628338504626</v>
      </c>
      <c r="AD8" s="15">
        <f>SUM(K8 * 1/'Raw Values'!$F8)</f>
        <v>92.845353024886279</v>
      </c>
      <c r="AE8" s="15">
        <f>SUM(Q8 * 1/'Raw Values'!$F8)</f>
        <v>82.910558886205337</v>
      </c>
    </row>
    <row r="9" spans="1:31" ht="15.75" customHeight="1" x14ac:dyDescent="0.15">
      <c r="A9" s="9" t="s">
        <v>150</v>
      </c>
      <c r="B9" s="212">
        <f>'Raw Values'!B9</f>
        <v>1.28</v>
      </c>
      <c r="C9" s="18">
        <f>'Raw Values'!C9</f>
        <v>38</v>
      </c>
      <c r="D9" s="15">
        <f>'Raw Values'!D9</f>
        <v>0.9</v>
      </c>
      <c r="E9" s="176"/>
      <c r="F9" s="15">
        <f>SUM('Raw Values'!$C9 * 'Raw Values'!$B9/2 * ('Raw Values'!$D9 ^ (100/500)))</f>
        <v>23.812888172618955</v>
      </c>
      <c r="G9" s="15">
        <f>SUM('Raw Values'!$C9 * 'Raw Values'!$B9/2 * ('Raw Values'!$D9 ^ (200/500)))</f>
        <v>23.316350457304925</v>
      </c>
      <c r="H9" s="15">
        <f>SUM('Raw Values'!$C9 * 'Raw Values'!$B9/2 * ('Raw Values'!$D9 ^ (300/500)))</f>
        <v>22.830166366504727</v>
      </c>
      <c r="I9" s="15">
        <f>SUM('Raw Values'!$C9 * 'Raw Values'!$B9/2 * ('Raw Values'!$D9 ^ (400/500)))</f>
        <v>22.354120010191757</v>
      </c>
      <c r="J9" s="15">
        <f>SUM('Raw Values'!$C9 * 'Raw Values'!$B9/2 * ('Raw Values'!$D9 ^ (500/500)))</f>
        <v>21.888000000000002</v>
      </c>
      <c r="K9" s="15">
        <f>SUM('Raw Values'!$C9 * 'Raw Values'!$B9/2 * ('Raw Values'!$D9 ^ (600/500)))</f>
        <v>21.431599355357061</v>
      </c>
      <c r="L9" s="15">
        <f>SUM('Raw Values'!$C9 * 'Raw Values'!$B9/2 * ('Raw Values'!$D9 ^ (700/500)))</f>
        <v>20.984715411574435</v>
      </c>
      <c r="M9" s="15">
        <f>SUM('Raw Values'!$C9 * 'Raw Values'!$B9/2 * ('Raw Values'!$D9 ^ (800/500)))</f>
        <v>20.547149729854258</v>
      </c>
      <c r="N9" s="15">
        <f>SUM('Raw Values'!$C9 * 'Raw Values'!$B9/2 * ('Raw Values'!$D9 ^ (900/500)))</f>
        <v>20.118708009172583</v>
      </c>
      <c r="O9" s="15">
        <f>SUM('Raw Values'!$C9 * 'Raw Values'!$B9/2 * ('Raw Values'!$D9 ^ (1000/500)))</f>
        <v>19.699200000000001</v>
      </c>
      <c r="P9" s="15">
        <f>SUM('Raw Values'!$C9 * 'Raw Values'!$B9/2 * ('Raw Values'!$D9 ^ (1100/500)))</f>
        <v>19.288439419821355</v>
      </c>
      <c r="Q9" s="15">
        <f>SUM('Raw Values'!$C9 * 'Raw Values'!$B9/2 * ('Raw Values'!$D9 ^ (1200/500)))</f>
        <v>18.88624387041699</v>
      </c>
      <c r="R9" s="15">
        <f>SUM('Raw Values'!$C9 * 'Raw Values'!$B9/2 * ('Raw Values'!$D9 ^ (1300/500)))</f>
        <v>18.492434756868828</v>
      </c>
      <c r="S9" s="15">
        <f>SUM('Raw Values'!$C9 * 'Raw Values'!$B9/2 * ('Raw Values'!$D9 ^ (1400/500)))</f>
        <v>18.106837208255325</v>
      </c>
      <c r="T9" s="15">
        <f>SUM('Raw Values'!$C9 * 'Raw Values'!$B9/2 * ('Raw Values'!$D9 ^ (1500/500)))</f>
        <v>17.729280000000003</v>
      </c>
      <c r="U9" s="176"/>
      <c r="V9" s="15">
        <f>SUM('Raw Values'!$C9 * 'Raw Values'!$B9/2 * ('Raw Values'!$D9 ^ (2000/500)))</f>
        <v>15.956352000000003</v>
      </c>
      <c r="W9" s="15">
        <f>SUM('Raw Values'!$C9 * 'Raw Values'!$B9/2 * ('Raw Values'!$D9 ^ (2500/500)))</f>
        <v>14.360716800000004</v>
      </c>
      <c r="X9" s="15">
        <f>SUM('Raw Values'!$C9 * 'Raw Values'!$B9/2 * ('Raw Values'!$D9 ^ (3000/500)))</f>
        <v>12.924645120000005</v>
      </c>
      <c r="Y9" s="176"/>
      <c r="Z9" s="213">
        <f>SUM(500*(LOG(50/(C9*'Raw Values'!$E9*B9/2))/LOG('Raw Values'!$D9)))</f>
        <v>3158.5381327823434</v>
      </c>
      <c r="AA9" s="213" t="s">
        <v>236</v>
      </c>
      <c r="AB9" s="15">
        <f>SUM(F9 * 1/'Raw Values'!$F9)</f>
        <v>158.7525878174597</v>
      </c>
      <c r="AC9" s="15">
        <f>SUM(H9 * 1/'Raw Values'!$F9)</f>
        <v>152.20110911003152</v>
      </c>
      <c r="AD9" s="15">
        <f>SUM(K9 * 1/'Raw Values'!$F9)</f>
        <v>142.87732903571376</v>
      </c>
      <c r="AE9" s="15">
        <f>SUM(Q9 * 1/'Raw Values'!$F9)</f>
        <v>125.90829246944661</v>
      </c>
    </row>
    <row r="10" spans="1:31" ht="15.75" customHeight="1" x14ac:dyDescent="0.15">
      <c r="A10" s="9" t="s">
        <v>151</v>
      </c>
      <c r="B10" s="212">
        <f>'Raw Values'!B10</f>
        <v>1.5529999999999999</v>
      </c>
      <c r="C10" s="18">
        <f>'Raw Values'!C10</f>
        <v>31</v>
      </c>
      <c r="D10" s="15">
        <f>'Raw Values'!D10</f>
        <v>0.85</v>
      </c>
      <c r="E10" s="176"/>
      <c r="F10" s="15">
        <f>SUM('Raw Values'!$C10 * 'Raw Values'!$B10/2 * ('Raw Values'!$D10 ^ (100/500)))</f>
        <v>23.301664183187231</v>
      </c>
      <c r="G10" s="15">
        <f>SUM('Raw Values'!$C10 * 'Raw Values'!$B10/2 * ('Raw Values'!$D10 ^ (200/500)))</f>
        <v>22.556448651144741</v>
      </c>
      <c r="H10" s="15">
        <f>SUM('Raw Values'!$C10 * 'Raw Values'!$B10/2 * ('Raw Values'!$D10 ^ (300/500)))</f>
        <v>21.835066017251989</v>
      </c>
      <c r="I10" s="15">
        <f>SUM('Raw Values'!$C10 * 'Raw Values'!$B10/2 * ('Raw Values'!$D10 ^ (400/500)))</f>
        <v>21.136754076469241</v>
      </c>
      <c r="J10" s="15">
        <f>SUM('Raw Values'!$C10 * 'Raw Values'!$B10/2 * ('Raw Values'!$D10 ^ (500/500)))</f>
        <v>20.460774999999998</v>
      </c>
      <c r="K10" s="15">
        <f>SUM('Raw Values'!$C10 * 'Raw Values'!$B10/2 * ('Raw Values'!$D10 ^ (600/500)))</f>
        <v>19.806414555709146</v>
      </c>
      <c r="L10" s="15">
        <f>SUM('Raw Values'!$C10 * 'Raw Values'!$B10/2 * ('Raw Values'!$D10 ^ (700/500)))</f>
        <v>19.172981353473027</v>
      </c>
      <c r="M10" s="15">
        <f>SUM('Raw Values'!$C10 * 'Raw Values'!$B10/2 * ('Raw Values'!$D10 ^ (800/500)))</f>
        <v>18.559806114664191</v>
      </c>
      <c r="N10" s="15">
        <f>SUM('Raw Values'!$C10 * 'Raw Values'!$B10/2 * ('Raw Values'!$D10 ^ (900/500)))</f>
        <v>17.966240964998857</v>
      </c>
      <c r="O10" s="15">
        <f>SUM('Raw Values'!$C10 * 'Raw Values'!$B10/2 * ('Raw Values'!$D10 ^ (1000/500)))</f>
        <v>17.391658749999998</v>
      </c>
      <c r="P10" s="15">
        <f>SUM('Raw Values'!$C10 * 'Raw Values'!$B10/2 * ('Raw Values'!$D10 ^ (1100/500)))</f>
        <v>16.835452372352773</v>
      </c>
      <c r="Q10" s="15">
        <f>SUM('Raw Values'!$C10 * 'Raw Values'!$B10/2 * ('Raw Values'!$D10 ^ (1200/500)))</f>
        <v>16.297034150452074</v>
      </c>
      <c r="R10" s="15">
        <f>SUM('Raw Values'!$C10 * 'Raw Values'!$B10/2 * ('Raw Values'!$D10 ^ (1300/500)))</f>
        <v>15.775835197464563</v>
      </c>
      <c r="S10" s="15">
        <f>SUM('Raw Values'!$C10 * 'Raw Values'!$B10/2 * ('Raw Values'!$D10 ^ (1400/500)))</f>
        <v>15.271304820249027</v>
      </c>
      <c r="T10" s="15">
        <f>SUM('Raw Values'!$C10 * 'Raw Values'!$B10/2 * ('Raw Values'!$D10 ^ (1500/500)))</f>
        <v>14.782909937499998</v>
      </c>
      <c r="U10" s="176"/>
      <c r="V10" s="15">
        <f>SUM('Raw Values'!$C10 * 'Raw Values'!$B10/2 * ('Raw Values'!$D10 ^ (2000/500)))</f>
        <v>12.565473446874998</v>
      </c>
      <c r="W10" s="15">
        <f>SUM('Raw Values'!$C10 * 'Raw Values'!$B10/2 * ('Raw Values'!$D10 ^ (2500/500)))</f>
        <v>10.680652429843748</v>
      </c>
      <c r="X10" s="15">
        <f>SUM('Raw Values'!$C10 * 'Raw Values'!$B10/2 * ('Raw Values'!$D10 ^ (3000/500)))</f>
        <v>9.0785545653671846</v>
      </c>
      <c r="Y10" s="176"/>
      <c r="Z10" s="213">
        <f>SUM(500*(LOG(50/(C10*'Raw Values'!$E10*B10/2))/LOG('Raw Values'!$D10)))</f>
        <v>2016.0726070758033</v>
      </c>
      <c r="AA10" s="213" t="s">
        <v>236</v>
      </c>
      <c r="AB10" s="15">
        <f>SUM(F10 * 1/'Raw Values'!$F10)</f>
        <v>233.01664183187231</v>
      </c>
      <c r="AC10" s="15">
        <f>SUM(H10 * 1/'Raw Values'!$F10)</f>
        <v>218.35066017251989</v>
      </c>
      <c r="AD10" s="15">
        <f>SUM(K10 * 1/'Raw Values'!$F10)</f>
        <v>198.06414555709145</v>
      </c>
      <c r="AE10" s="15">
        <f>SUM(Q10 * 1/'Raw Values'!$F10)</f>
        <v>162.97034150452072</v>
      </c>
    </row>
    <row r="11" spans="1:31" ht="15.75" customHeight="1" x14ac:dyDescent="0.15">
      <c r="A11" s="36" t="s">
        <v>152</v>
      </c>
      <c r="B11" s="212">
        <f>'Raw Values'!B11</f>
        <v>1.8120000000000001</v>
      </c>
      <c r="C11" s="18">
        <f>'Raw Values'!C11</f>
        <v>33</v>
      </c>
      <c r="D11" s="15">
        <f>'Raw Values'!D11</f>
        <v>0.79</v>
      </c>
      <c r="E11" s="176"/>
      <c r="F11" s="15">
        <f>SUM('Raw Values'!$C11 * 'Raw Values'!$B11/2 * ('Raw Values'!$D11 ^ (100/500)))</f>
        <v>28.521184354011158</v>
      </c>
      <c r="G11" s="15">
        <f>SUM('Raw Values'!$C11 * 'Raw Values'!$B11/2 * ('Raw Values'!$D11 ^ (200/500)))</f>
        <v>27.207771655478322</v>
      </c>
      <c r="H11" s="15">
        <f>SUM('Raw Values'!$C11 * 'Raw Values'!$B11/2 * ('Raw Values'!$D11 ^ (300/500)))</f>
        <v>25.954842171641463</v>
      </c>
      <c r="I11" s="15">
        <f>SUM('Raw Values'!$C11 * 'Raw Values'!$B11/2 * ('Raw Values'!$D11 ^ (400/500)))</f>
        <v>24.759610624678892</v>
      </c>
      <c r="J11" s="15">
        <f>SUM('Raw Values'!$C11 * 'Raw Values'!$B11/2 * ('Raw Values'!$D11 ^ (500/500)))</f>
        <v>23.619420000000002</v>
      </c>
      <c r="K11" s="15">
        <f>SUM('Raw Values'!$C11 * 'Raw Values'!$B11/2 * ('Raw Values'!$D11 ^ (600/500)))</f>
        <v>22.531735639668817</v>
      </c>
      <c r="L11" s="15">
        <f>SUM('Raw Values'!$C11 * 'Raw Values'!$B11/2 * ('Raw Values'!$D11 ^ (700/500)))</f>
        <v>21.494139607827872</v>
      </c>
      <c r="M11" s="15">
        <f>SUM('Raw Values'!$C11 * 'Raw Values'!$B11/2 * ('Raw Values'!$D11 ^ (800/500)))</f>
        <v>20.504325315596759</v>
      </c>
      <c r="N11" s="15">
        <f>SUM('Raw Values'!$C11 * 'Raw Values'!$B11/2 * ('Raw Values'!$D11 ^ (900/500)))</f>
        <v>19.560092393496326</v>
      </c>
      <c r="O11" s="15">
        <f>SUM('Raw Values'!$C11 * 'Raw Values'!$B11/2 * ('Raw Values'!$D11 ^ (1000/500)))</f>
        <v>18.659341800000004</v>
      </c>
      <c r="P11" s="15">
        <f>SUM('Raw Values'!$C11 * 'Raw Values'!$B11/2 * ('Raw Values'!$D11 ^ (1100/500)))</f>
        <v>17.800071155338365</v>
      </c>
      <c r="Q11" s="15">
        <f>SUM('Raw Values'!$C11 * 'Raw Values'!$B11/2 * ('Raw Values'!$D11 ^ (1200/500)))</f>
        <v>16.980370290184023</v>
      </c>
      <c r="R11" s="15">
        <f>SUM('Raw Values'!$C11 * 'Raw Values'!$B11/2 * ('Raw Values'!$D11 ^ (1300/500)))</f>
        <v>16.198416999321438</v>
      </c>
      <c r="S11" s="15">
        <f>SUM('Raw Values'!$C11 * 'Raw Values'!$B11/2 * ('Raw Values'!$D11 ^ (1400/500)))</f>
        <v>15.452472990862097</v>
      </c>
      <c r="T11" s="15">
        <f>SUM('Raw Values'!$C11 * 'Raw Values'!$B11/2 * ('Raw Values'!$D11 ^ (1500/500)))</f>
        <v>14.740880022000002</v>
      </c>
      <c r="U11" s="176"/>
      <c r="V11" s="15">
        <f>SUM('Raw Values'!$C11 * 'Raw Values'!$B11/2 * ('Raw Values'!$D11 ^ (2000/500)))</f>
        <v>11.645295217380005</v>
      </c>
      <c r="W11" s="15">
        <f>SUM('Raw Values'!$C11 * 'Raw Values'!$B11/2 * ('Raw Values'!$D11 ^ (2500/500)))</f>
        <v>9.1997832217302022</v>
      </c>
      <c r="X11" s="15">
        <f>SUM('Raw Values'!$C11 * 'Raw Values'!$B11/2 * ('Raw Values'!$D11 ^ (3000/500)))</f>
        <v>7.2678287451668622</v>
      </c>
      <c r="Y11" s="176"/>
      <c r="Z11" s="213">
        <f>SUM(500*(LOG(50/(C11*'Raw Values'!$E11*B11/2))/LOG('Raw Values'!$D11)))</f>
        <v>1849.767332591586</v>
      </c>
      <c r="AA11" s="213">
        <f>SUM(500*(LOG(100/(C11*'Raw Values'!$E11*B11/2)))/LOG('Raw Values'!$D11))</f>
        <v>379.50532939877218</v>
      </c>
      <c r="AB11" s="15">
        <f>SUM(F11 * 1/'Raw Values'!$F11)</f>
        <v>237.67653628342632</v>
      </c>
      <c r="AC11" s="15">
        <f>SUM(H11 * 1/'Raw Values'!$F11)</f>
        <v>216.29035143034554</v>
      </c>
      <c r="AD11" s="15">
        <f>SUM(K11 * 1/'Raw Values'!$F11)</f>
        <v>187.76446366390681</v>
      </c>
      <c r="AE11" s="15">
        <f>SUM(Q11 * 1/'Raw Values'!$F11)</f>
        <v>141.50308575153352</v>
      </c>
    </row>
    <row r="12" spans="1:31" ht="15.75" customHeight="1" x14ac:dyDescent="0.15">
      <c r="A12" s="39"/>
      <c r="B12" s="98"/>
      <c r="C12" s="214"/>
      <c r="D12" s="41"/>
      <c r="E12" s="17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15"/>
      <c r="V12" s="39"/>
      <c r="W12" s="39"/>
      <c r="X12" s="39"/>
      <c r="Y12" s="179"/>
      <c r="Z12" s="216"/>
      <c r="AA12" s="216"/>
      <c r="AB12" s="41"/>
      <c r="AC12" s="41"/>
      <c r="AD12" s="41"/>
      <c r="AE12" s="41"/>
    </row>
    <row r="13" spans="1:31" ht="15.75" customHeight="1" x14ac:dyDescent="0.15">
      <c r="A13" s="1" t="s">
        <v>53</v>
      </c>
      <c r="B13" s="66" t="s">
        <v>262</v>
      </c>
      <c r="C13" s="210" t="s">
        <v>3</v>
      </c>
      <c r="D13" s="4" t="s">
        <v>93</v>
      </c>
      <c r="E13" s="204"/>
      <c r="F13" s="2" t="s">
        <v>239</v>
      </c>
      <c r="G13" s="2" t="s">
        <v>240</v>
      </c>
      <c r="H13" s="2" t="s">
        <v>241</v>
      </c>
      <c r="I13" s="2" t="s">
        <v>242</v>
      </c>
      <c r="J13" s="2" t="s">
        <v>243</v>
      </c>
      <c r="K13" s="2" t="s">
        <v>244</v>
      </c>
      <c r="L13" s="2" t="s">
        <v>245</v>
      </c>
      <c r="M13" s="2" t="s">
        <v>246</v>
      </c>
      <c r="N13" s="2" t="s">
        <v>247</v>
      </c>
      <c r="O13" s="2" t="s">
        <v>248</v>
      </c>
      <c r="P13" s="2" t="s">
        <v>249</v>
      </c>
      <c r="Q13" s="2" t="s">
        <v>250</v>
      </c>
      <c r="R13" s="2" t="s">
        <v>251</v>
      </c>
      <c r="S13" s="2" t="s">
        <v>252</v>
      </c>
      <c r="T13" s="2" t="s">
        <v>253</v>
      </c>
      <c r="U13" s="217"/>
      <c r="V13" s="205" t="s">
        <v>254</v>
      </c>
      <c r="W13" s="205" t="s">
        <v>255</v>
      </c>
      <c r="X13" s="205" t="s">
        <v>256</v>
      </c>
      <c r="Y13" s="174"/>
      <c r="Z13" s="218" t="s">
        <v>263</v>
      </c>
      <c r="AA13" s="209" t="s">
        <v>257</v>
      </c>
      <c r="AB13" s="4" t="s">
        <v>258</v>
      </c>
      <c r="AC13" s="4" t="s">
        <v>259</v>
      </c>
      <c r="AD13" s="4" t="s">
        <v>260</v>
      </c>
      <c r="AE13" s="4" t="s">
        <v>261</v>
      </c>
    </row>
    <row r="14" spans="1:31" ht="15.75" customHeight="1" x14ac:dyDescent="0.15">
      <c r="A14" s="35" t="s">
        <v>153</v>
      </c>
      <c r="B14" s="212">
        <f>'Raw Values'!B14</f>
        <v>1.5</v>
      </c>
      <c r="C14" s="18">
        <f>'Raw Values'!C14</f>
        <v>30</v>
      </c>
      <c r="D14" s="15">
        <f>'Raw Values'!D14</f>
        <v>0.45</v>
      </c>
      <c r="E14" s="176"/>
      <c r="F14" s="15">
        <f>SUM('Raw Values'!$C14 * 'Raw Values'!$B14/2 * ('Raw Values'!$D14 ^ (100/500)))</f>
        <v>19.178958564086081</v>
      </c>
      <c r="G14" s="15">
        <f>SUM('Raw Values'!$C14 * 'Raw Values'!$B14/2 * ('Raw Values'!$D14 ^ (200/500)))</f>
        <v>16.348108960130258</v>
      </c>
      <c r="H14" s="15">
        <f>SUM('Raw Values'!$C14 * 'Raw Values'!$B14/2 * ('Raw Values'!$D14 ^ (300/500)))</f>
        <v>13.935097971000117</v>
      </c>
      <c r="I14" s="15">
        <f>SUM('Raw Values'!$C14 * 'Raw Values'!$B14/2 * ('Raw Values'!$D14 ^ (400/500)))</f>
        <v>11.878251847657388</v>
      </c>
      <c r="J14" s="15">
        <f>SUM('Raw Values'!$C14 * 'Raw Values'!$B14/2 * ('Raw Values'!$D14 ^ (500/500)))</f>
        <v>10.125</v>
      </c>
      <c r="K14" s="15">
        <f>SUM('Raw Values'!$C14 * 'Raw Values'!$B14/2 * ('Raw Values'!$D14 ^ (600/500)))</f>
        <v>8.6305313538387374</v>
      </c>
      <c r="L14" s="15">
        <f>SUM('Raw Values'!$C14 * 'Raw Values'!$B14/2 * ('Raw Values'!$D14 ^ (700/500)))</f>
        <v>7.3566490320586162</v>
      </c>
      <c r="M14" s="15">
        <f>SUM('Raw Values'!$C14 * 'Raw Values'!$B14/2 * ('Raw Values'!$D14 ^ (800/500)))</f>
        <v>6.2707940869500511</v>
      </c>
      <c r="N14" s="15">
        <f>SUM('Raw Values'!$C14 * 'Raw Values'!$B14/2 * ('Raw Values'!$D14 ^ (900/500)))</f>
        <v>5.3452133314458257</v>
      </c>
      <c r="O14" s="15">
        <f>SUM('Raw Values'!$C14 * 'Raw Values'!$B14/2 * ('Raw Values'!$D14 ^ (1000/500)))</f>
        <v>4.5562500000000004</v>
      </c>
      <c r="P14" s="15">
        <f>SUM('Raw Values'!$C14 * 'Raw Values'!$B14/2 * ('Raw Values'!$D14 ^ (1100/500)))</f>
        <v>3.8837391092274305</v>
      </c>
      <c r="Q14" s="15">
        <f>SUM('Raw Values'!$C14 * 'Raw Values'!$B14/2 * ('Raw Values'!$D14 ^ (1200/500)))</f>
        <v>3.310492064426378</v>
      </c>
      <c r="R14" s="15">
        <f>SUM('Raw Values'!$C14 * 'Raw Values'!$B14/2 * ('Raw Values'!$D14 ^ (1300/500)))</f>
        <v>2.8218573391275226</v>
      </c>
      <c r="S14" s="15">
        <f>SUM('Raw Values'!$C14 * 'Raw Values'!$B14/2 * ('Raw Values'!$D14 ^ (1400/500)))</f>
        <v>2.4053459991506214</v>
      </c>
      <c r="T14" s="15">
        <f>SUM('Raw Values'!$C14 * 'Raw Values'!$B14/2 * ('Raw Values'!$D14 ^ (1500/500)))</f>
        <v>2.0503125000000004</v>
      </c>
      <c r="U14" s="176"/>
      <c r="V14" s="15"/>
      <c r="W14" s="15"/>
      <c r="X14" s="15"/>
      <c r="Y14" s="176"/>
      <c r="Z14" s="213">
        <f>SUM(500*(LOG(50/(C14*'Raw Values'!$E14*B14/2))/LOG('Raw Values'!$D14)))</f>
        <v>368.05322458771639</v>
      </c>
      <c r="AA14" s="213" t="s">
        <v>236</v>
      </c>
      <c r="AB14" s="15">
        <f>SUM(F14 * 'Raw Values'!O14/'Raw Values'!$F14)</f>
        <v>180.50784530904548</v>
      </c>
      <c r="AC14" s="15">
        <f>SUM(H14 * 'Raw Values'!O14/'Raw Values'!$F14)</f>
        <v>131.15386325647168</v>
      </c>
      <c r="AD14" s="15">
        <f>SUM(K14 * 'Raw Values'!O14/'Raw Values'!$F14)</f>
        <v>81.228530389070471</v>
      </c>
      <c r="AE14" s="15">
        <f>SUM(Q14 * 'Raw Values'!O14/'Raw Values'!$F14)</f>
        <v>31.157572371071794</v>
      </c>
    </row>
    <row r="15" spans="1:31" ht="15.75" customHeight="1" x14ac:dyDescent="0.15">
      <c r="A15" s="9" t="s">
        <v>155</v>
      </c>
      <c r="B15" s="212">
        <f>'Raw Values'!B15</f>
        <v>1</v>
      </c>
      <c r="C15" s="18">
        <f>'Raw Values'!C15</f>
        <v>26</v>
      </c>
      <c r="D15" s="15">
        <f>'Raw Values'!D15</f>
        <v>0.7</v>
      </c>
      <c r="E15" s="176"/>
      <c r="F15" s="15">
        <f>SUM('Raw Values'!$C15 * 'Raw Values'!$B15/2 * ('Raw Values'!$D15 ^ (100/500)))</f>
        <v>12.104948896232891</v>
      </c>
      <c r="G15" s="15">
        <f>SUM('Raw Values'!$C15 * 'Raw Values'!$B15/2 * ('Raw Values'!$D15 ^ (200/500)))</f>
        <v>11.271522136954605</v>
      </c>
      <c r="H15" s="15">
        <f>SUM('Raw Values'!$C15 * 'Raw Values'!$B15/2 * ('Raw Values'!$D15 ^ (300/500)))</f>
        <v>10.495476880814863</v>
      </c>
      <c r="I15" s="15">
        <f>SUM('Raw Values'!$C15 * 'Raw Values'!$B15/2 * ('Raw Values'!$D15 ^ (400/500)))</f>
        <v>9.7728624064505905</v>
      </c>
      <c r="J15" s="15">
        <f>SUM('Raw Values'!$C15 * 'Raw Values'!$B15/2 * ('Raw Values'!$D15 ^ (500/500)))</f>
        <v>9.1</v>
      </c>
      <c r="K15" s="15">
        <f>SUM('Raw Values'!$C15 * 'Raw Values'!$B15/2 * ('Raw Values'!$D15 ^ (600/500)))</f>
        <v>8.4734642273630225</v>
      </c>
      <c r="L15" s="15">
        <f>SUM('Raw Values'!$C15 * 'Raw Values'!$B15/2 * ('Raw Values'!$D15 ^ (700/500)))</f>
        <v>7.8900654958682228</v>
      </c>
      <c r="M15" s="15">
        <f>SUM('Raw Values'!$C15 * 'Raw Values'!$B15/2 * ('Raw Values'!$D15 ^ (800/500)))</f>
        <v>7.3468338165704035</v>
      </c>
      <c r="N15" s="15">
        <f>SUM('Raw Values'!$C15 * 'Raw Values'!$B15/2 * ('Raw Values'!$D15 ^ (900/500)))</f>
        <v>6.841003684515413</v>
      </c>
      <c r="O15" s="15">
        <f>SUM('Raw Values'!$C15 * 'Raw Values'!$B15/2 * ('Raw Values'!$D15 ^ (1000/500)))</f>
        <v>6.3699999999999992</v>
      </c>
      <c r="P15" s="15">
        <f>SUM('Raw Values'!$C15 * 'Raw Values'!$B15/2 * ('Raw Values'!$D15 ^ (1100/500)))</f>
        <v>5.9314249591541151</v>
      </c>
      <c r="Q15" s="15">
        <f>SUM('Raw Values'!$C15 * 'Raw Values'!$B15/2 * ('Raw Values'!$D15 ^ (1200/500)))</f>
        <v>5.5230458471077553</v>
      </c>
      <c r="R15" s="15">
        <f>SUM('Raw Values'!$C15 * 'Raw Values'!$B15/2 * ('Raw Values'!$D15 ^ (1300/500)))</f>
        <v>5.1427836715992825</v>
      </c>
      <c r="S15" s="15">
        <f>SUM('Raw Values'!$C15 * 'Raw Values'!$B15/2 * ('Raw Values'!$D15 ^ (1400/500)))</f>
        <v>4.7887025791607902</v>
      </c>
      <c r="T15" s="15">
        <f>SUM('Raw Values'!$C15 * 'Raw Values'!$B15/2 * ('Raw Values'!$D15 ^ (1500/500)))</f>
        <v>4.4589999999999987</v>
      </c>
      <c r="U15" s="176"/>
      <c r="V15" s="15">
        <f>SUM('Raw Values'!$C15 * 'Raw Values'!$B15/2 * ('Raw Values'!$D15 ^ (2000/500)))</f>
        <v>3.1212999999999989</v>
      </c>
      <c r="W15" s="15">
        <f>SUM('Raw Values'!$C15 * 'Raw Values'!$B15/2 * ('Raw Values'!$D15 ^ (2500/500)))</f>
        <v>2.1849099999999995</v>
      </c>
      <c r="X15" s="15">
        <f>SUM('Raw Values'!$C15 * 'Raw Values'!$B15/2 * ('Raw Values'!$D15 ^ (3000/500)))</f>
        <v>1.5294369999999993</v>
      </c>
      <c r="Y15" s="176"/>
      <c r="Z15" s="213">
        <f>SUM(500*(LOG(50/(C15*'Raw Values'!$E15*B15/2))/LOG('Raw Values'!$D15)))</f>
        <v>54.981032197229943</v>
      </c>
      <c r="AA15" s="213" t="s">
        <v>236</v>
      </c>
      <c r="AB15" s="15">
        <f>SUM(F15 * 'Raw Values'!O15/'Raw Values'!$F15)</f>
        <v>123.80061371147274</v>
      </c>
      <c r="AC15" s="15">
        <f>SUM(H15 * 'Raw Values'!O15/'Raw Values'!$F15)</f>
        <v>107.34010446287928</v>
      </c>
      <c r="AD15" s="15">
        <f>SUM(K15 * 'Raw Values'!O15/'Raw Values'!$F15)</f>
        <v>86.660429598030916</v>
      </c>
      <c r="AE15" s="15">
        <f>SUM(Q15 * 'Raw Values'!O15/'Raw Values'!$F15)</f>
        <v>56.485696163602036</v>
      </c>
    </row>
    <row r="16" spans="1:31" ht="15.75" customHeight="1" x14ac:dyDescent="0.15">
      <c r="A16" s="36" t="s">
        <v>156</v>
      </c>
      <c r="B16" s="212">
        <f>'Raw Values'!B16</f>
        <v>1.5</v>
      </c>
      <c r="C16" s="18">
        <f>'Raw Values'!C16</f>
        <v>32</v>
      </c>
      <c r="D16" s="15">
        <f>'Raw Values'!D16</f>
        <v>0.45</v>
      </c>
      <c r="E16" s="176"/>
      <c r="F16" s="15">
        <f>SUM('Raw Values'!$C16 * 'Raw Values'!$B16/2 * ('Raw Values'!$D16 ^ (100/500)))</f>
        <v>20.457555801691818</v>
      </c>
      <c r="G16" s="15">
        <f>SUM('Raw Values'!$C16 * 'Raw Values'!$B16/2 * ('Raw Values'!$D16 ^ (200/500)))</f>
        <v>17.437982890805607</v>
      </c>
      <c r="H16" s="15">
        <f>SUM('Raw Values'!$C16 * 'Raw Values'!$B16/2 * ('Raw Values'!$D16 ^ (300/500)))</f>
        <v>14.864104502400124</v>
      </c>
      <c r="I16" s="15">
        <f>SUM('Raw Values'!$C16 * 'Raw Values'!$B16/2 * ('Raw Values'!$D16 ^ (400/500)))</f>
        <v>12.670135304167882</v>
      </c>
      <c r="J16" s="15">
        <f>SUM('Raw Values'!$C16 * 'Raw Values'!$B16/2 * ('Raw Values'!$D16 ^ (500/500)))</f>
        <v>10.8</v>
      </c>
      <c r="K16" s="15">
        <f>SUM('Raw Values'!$C16 * 'Raw Values'!$B16/2 * ('Raw Values'!$D16 ^ (600/500)))</f>
        <v>9.2059001107613199</v>
      </c>
      <c r="L16" s="15">
        <f>SUM('Raw Values'!$C16 * 'Raw Values'!$B16/2 * ('Raw Values'!$D16 ^ (700/500)))</f>
        <v>7.8470923008625242</v>
      </c>
      <c r="M16" s="15">
        <f>SUM('Raw Values'!$C16 * 'Raw Values'!$B16/2 * ('Raw Values'!$D16 ^ (800/500)))</f>
        <v>6.6888470260800545</v>
      </c>
      <c r="N16" s="15">
        <f>SUM('Raw Values'!$C16 * 'Raw Values'!$B16/2 * ('Raw Values'!$D16 ^ (900/500)))</f>
        <v>5.701560886875547</v>
      </c>
      <c r="O16" s="15">
        <f>SUM('Raw Values'!$C16 * 'Raw Values'!$B16/2 * ('Raw Values'!$D16 ^ (1000/500)))</f>
        <v>4.8600000000000003</v>
      </c>
      <c r="P16" s="15">
        <f>SUM('Raw Values'!$C16 * 'Raw Values'!$B16/2 * ('Raw Values'!$D16 ^ (1100/500)))</f>
        <v>4.1426550498425927</v>
      </c>
      <c r="Q16" s="15">
        <f>SUM('Raw Values'!$C16 * 'Raw Values'!$B16/2 * ('Raw Values'!$D16 ^ (1200/500)))</f>
        <v>3.5311915353881367</v>
      </c>
      <c r="R16" s="15">
        <f>SUM('Raw Values'!$C16 * 'Raw Values'!$B16/2 * ('Raw Values'!$D16 ^ (1300/500)))</f>
        <v>3.0099811617360244</v>
      </c>
      <c r="S16" s="15">
        <f>SUM('Raw Values'!$C16 * 'Raw Values'!$B16/2 * ('Raw Values'!$D16 ^ (1400/500)))</f>
        <v>2.5657023990939964</v>
      </c>
      <c r="T16" s="15">
        <f>SUM('Raw Values'!$C16 * 'Raw Values'!$B16/2 * ('Raw Values'!$D16 ^ (1500/500)))</f>
        <v>2.1870000000000003</v>
      </c>
      <c r="U16" s="176"/>
      <c r="V16" s="15"/>
      <c r="W16" s="15"/>
      <c r="X16" s="15"/>
      <c r="Y16" s="176"/>
      <c r="Z16" s="213">
        <f>SUM(500*(LOG(50/(C16*'Raw Values'!$E16*B16/2))/LOG('Raw Values'!$D16)))</f>
        <v>408.46518394844986</v>
      </c>
      <c r="AA16" s="213" t="s">
        <v>236</v>
      </c>
      <c r="AB16" s="15">
        <f>SUM(F16 * 'Raw Values'!O16/'Raw Values'!$F16)</f>
        <v>192.54170166298181</v>
      </c>
      <c r="AC16" s="15">
        <f>SUM(H16 * 'Raw Values'!O16/'Raw Values'!$F16)</f>
        <v>139.89745414023648</v>
      </c>
      <c r="AD16" s="15">
        <f>SUM(K16 * 'Raw Values'!O16/'Raw Values'!$F16)</f>
        <v>86.643765748341835</v>
      </c>
      <c r="AE16" s="15">
        <f>SUM(Q16 * 'Raw Values'!O16/'Raw Values'!$F16)</f>
        <v>33.234743862476584</v>
      </c>
    </row>
    <row r="17" spans="1:31" ht="15.75" customHeight="1" x14ac:dyDescent="0.15">
      <c r="A17" s="9" t="s">
        <v>157</v>
      </c>
      <c r="B17" s="212">
        <f>'Raw Values'!B17</f>
        <v>1.6</v>
      </c>
      <c r="C17" s="18">
        <f>'Raw Values'!C17</f>
        <v>20</v>
      </c>
      <c r="D17" s="15">
        <f>'Raw Values'!D17</f>
        <v>0.7</v>
      </c>
      <c r="E17" s="176"/>
      <c r="F17" s="15">
        <f>SUM('Raw Values'!$C17 * 'Raw Values'!$B17/2 * ('Raw Values'!$D17 ^ (100/500)))</f>
        <v>14.898398641517403</v>
      </c>
      <c r="G17" s="15">
        <f>SUM('Raw Values'!$C17 * 'Raw Values'!$B17/2 * ('Raw Values'!$D17 ^ (200/500)))</f>
        <v>13.872642630097975</v>
      </c>
      <c r="H17" s="15">
        <f>SUM('Raw Values'!$C17 * 'Raw Values'!$B17/2 * ('Raw Values'!$D17 ^ (300/500)))</f>
        <v>12.917510007156755</v>
      </c>
      <c r="I17" s="15">
        <f>SUM('Raw Values'!$C17 * 'Raw Values'!$B17/2 * ('Raw Values'!$D17 ^ (400/500)))</f>
        <v>12.028138346400727</v>
      </c>
      <c r="J17" s="15">
        <f>SUM('Raw Values'!$C17 * 'Raw Values'!$B17/2 * ('Raw Values'!$D17 ^ (500/500)))</f>
        <v>11.2</v>
      </c>
      <c r="K17" s="15">
        <f>SUM('Raw Values'!$C17 * 'Raw Values'!$B17/2 * ('Raw Values'!$D17 ^ (600/500)))</f>
        <v>10.428879049062182</v>
      </c>
      <c r="L17" s="15">
        <f>SUM('Raw Values'!$C17 * 'Raw Values'!$B17/2 * ('Raw Values'!$D17 ^ (700/500)))</f>
        <v>9.7108498410685815</v>
      </c>
      <c r="M17" s="15">
        <f>SUM('Raw Values'!$C17 * 'Raw Values'!$B17/2 * ('Raw Values'!$D17 ^ (800/500)))</f>
        <v>9.0422570050097271</v>
      </c>
      <c r="N17" s="15">
        <f>SUM('Raw Values'!$C17 * 'Raw Values'!$B17/2 * ('Raw Values'!$D17 ^ (900/500)))</f>
        <v>8.4196968424805085</v>
      </c>
      <c r="O17" s="15">
        <f>SUM('Raw Values'!$C17 * 'Raw Values'!$B17/2 * ('Raw Values'!$D17 ^ (1000/500)))</f>
        <v>7.839999999999999</v>
      </c>
      <c r="P17" s="15">
        <f>SUM('Raw Values'!$C17 * 'Raw Values'!$B17/2 * ('Raw Values'!$D17 ^ (1100/500)))</f>
        <v>7.3002153343435259</v>
      </c>
      <c r="Q17" s="15">
        <f>SUM('Raw Values'!$C17 * 'Raw Values'!$B17/2 * ('Raw Values'!$D17 ^ (1200/500)))</f>
        <v>6.7975948887480069</v>
      </c>
      <c r="R17" s="15">
        <f>SUM('Raw Values'!$C17 * 'Raw Values'!$B17/2 * ('Raw Values'!$D17 ^ (1300/500)))</f>
        <v>6.3295799035068088</v>
      </c>
      <c r="S17" s="15">
        <f>SUM('Raw Values'!$C17 * 'Raw Values'!$B17/2 * ('Raw Values'!$D17 ^ (1400/500)))</f>
        <v>5.8937877897363569</v>
      </c>
      <c r="T17" s="15">
        <f>SUM('Raw Values'!$C17 * 'Raw Values'!$B17/2 * ('Raw Values'!$D17 ^ (1500/500)))</f>
        <v>5.4879999999999987</v>
      </c>
      <c r="U17" s="176"/>
      <c r="V17" s="15">
        <f>SUM('Raw Values'!$C17 * 'Raw Values'!$B17/2 * ('Raw Values'!$D17 ^ (2000/500)))</f>
        <v>3.8415999999999988</v>
      </c>
      <c r="W17" s="15">
        <f>SUM('Raw Values'!$C17 * 'Raw Values'!$B17/2 * ('Raw Values'!$D17 ^ (2500/500)))</f>
        <v>2.6891199999999991</v>
      </c>
      <c r="X17" s="15">
        <f>SUM('Raw Values'!$C17 * 'Raw Values'!$B17/2 * ('Raw Values'!$D17 ^ (3000/500)))</f>
        <v>1.8823839999999992</v>
      </c>
      <c r="Y17" s="176"/>
      <c r="Z17" s="213">
        <f>SUM(500*(LOG(50/(C17*'Raw Values'!$E17*B17/2))/LOG('Raw Values'!$D17)))</f>
        <v>346.0574987486786</v>
      </c>
      <c r="AA17" s="213" t="s">
        <v>236</v>
      </c>
      <c r="AB17" s="15">
        <f>SUM(F17 * 'Raw Values'!O17/'Raw Values'!$F17)</f>
        <v>255.40111956886977</v>
      </c>
      <c r="AC17" s="15">
        <f>SUM(H17 * 'Raw Values'!O17/'Raw Values'!$F17)</f>
        <v>221.44302869411581</v>
      </c>
      <c r="AD17" s="15">
        <f>SUM(K17 * 'Raw Values'!O17/'Raw Values'!$F17)</f>
        <v>178.78078369820884</v>
      </c>
      <c r="AE17" s="15">
        <f>SUM(Q17 * 'Raw Values'!O17/'Raw Values'!$F17)</f>
        <v>116.53019809282297</v>
      </c>
    </row>
    <row r="18" spans="1:31" ht="15.75" customHeight="1" x14ac:dyDescent="0.15">
      <c r="A18" s="39"/>
      <c r="B18" s="98"/>
      <c r="C18" s="214"/>
      <c r="D18" s="41"/>
      <c r="E18" s="17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215"/>
      <c r="V18" s="39"/>
      <c r="W18" s="39"/>
      <c r="X18" s="39"/>
      <c r="Y18" s="179"/>
      <c r="Z18" s="216"/>
      <c r="AA18" s="216"/>
      <c r="AB18" s="41"/>
      <c r="AC18" s="41"/>
      <c r="AD18" s="41"/>
      <c r="AE18" s="41"/>
    </row>
    <row r="19" spans="1:31" ht="15.75" customHeight="1" x14ac:dyDescent="0.15">
      <c r="A19" s="1" t="s">
        <v>59</v>
      </c>
      <c r="B19" s="66" t="s">
        <v>262</v>
      </c>
      <c r="C19" s="210" t="s">
        <v>3</v>
      </c>
      <c r="D19" s="4" t="s">
        <v>93</v>
      </c>
      <c r="E19" s="204"/>
      <c r="F19" s="2" t="s">
        <v>239</v>
      </c>
      <c r="G19" s="2" t="s">
        <v>240</v>
      </c>
      <c r="H19" s="2" t="s">
        <v>241</v>
      </c>
      <c r="I19" s="2" t="s">
        <v>242</v>
      </c>
      <c r="J19" s="2" t="s">
        <v>243</v>
      </c>
      <c r="K19" s="2" t="s">
        <v>244</v>
      </c>
      <c r="L19" s="2" t="s">
        <v>245</v>
      </c>
      <c r="M19" s="2" t="s">
        <v>246</v>
      </c>
      <c r="N19" s="2" t="s">
        <v>247</v>
      </c>
      <c r="O19" s="2" t="s">
        <v>248</v>
      </c>
      <c r="P19" s="2" t="s">
        <v>249</v>
      </c>
      <c r="Q19" s="2" t="s">
        <v>250</v>
      </c>
      <c r="R19" s="2" t="s">
        <v>251</v>
      </c>
      <c r="S19" s="2" t="s">
        <v>252</v>
      </c>
      <c r="T19" s="2" t="s">
        <v>253</v>
      </c>
      <c r="U19" s="217"/>
      <c r="V19" s="205" t="s">
        <v>254</v>
      </c>
      <c r="W19" s="205" t="s">
        <v>255</v>
      </c>
      <c r="X19" s="205" t="s">
        <v>256</v>
      </c>
      <c r="Y19" s="174"/>
      <c r="Z19" s="218" t="s">
        <v>263</v>
      </c>
      <c r="AA19" s="209" t="s">
        <v>257</v>
      </c>
      <c r="AB19" s="4" t="s">
        <v>258</v>
      </c>
      <c r="AC19" s="4" t="s">
        <v>259</v>
      </c>
      <c r="AD19" s="4" t="s">
        <v>260</v>
      </c>
      <c r="AE19" s="4" t="s">
        <v>261</v>
      </c>
    </row>
    <row r="20" spans="1:31" ht="15.75" customHeight="1" x14ac:dyDescent="0.15">
      <c r="A20" s="9" t="s">
        <v>158</v>
      </c>
      <c r="B20" s="212">
        <f>'Raw Values'!B20</f>
        <v>1.26</v>
      </c>
      <c r="C20" s="18">
        <f>'Raw Values'!C20</f>
        <v>27</v>
      </c>
      <c r="D20" s="15">
        <f>'Raw Values'!D20</f>
        <v>0.8</v>
      </c>
      <c r="E20" s="176"/>
      <c r="F20" s="15">
        <f>SUM('Raw Values'!$C20 * 'Raw Values'!$B20/2 * ('Raw Values'!$D20 ^ (100/500)))</f>
        <v>16.267556021428533</v>
      </c>
      <c r="G20" s="15">
        <f>SUM('Raw Values'!$C20 * 'Raw Values'!$B20/2 * ('Raw Values'!$D20 ^ (200/500)))</f>
        <v>15.557517866567643</v>
      </c>
      <c r="H20" s="15">
        <f>SUM('Raw Values'!$C20 * 'Raw Values'!$B20/2 * ('Raw Values'!$D20 ^ (300/500)))</f>
        <v>14.87847110222013</v>
      </c>
      <c r="I20" s="15">
        <f>SUM('Raw Values'!$C20 * 'Raw Values'!$B20/2 * ('Raw Values'!$D20 ^ (400/500)))</f>
        <v>14.229063031662049</v>
      </c>
      <c r="J20" s="15">
        <f>SUM('Raw Values'!$C20 * 'Raw Values'!$B20/2 * ('Raw Values'!$D20 ^ (500/500)))</f>
        <v>13.608000000000002</v>
      </c>
      <c r="K20" s="15">
        <f>SUM('Raw Values'!$C20 * 'Raw Values'!$B20/2 * ('Raw Values'!$D20 ^ (600/500)))</f>
        <v>13.014044817142825</v>
      </c>
      <c r="L20" s="15">
        <f>SUM('Raw Values'!$C20 * 'Raw Values'!$B20/2 * ('Raw Values'!$D20 ^ (700/500)))</f>
        <v>12.446014293254116</v>
      </c>
      <c r="M20" s="15">
        <f>SUM('Raw Values'!$C20 * 'Raw Values'!$B20/2 * ('Raw Values'!$D20 ^ (800/500)))</f>
        <v>11.902776881776104</v>
      </c>
      <c r="N20" s="15">
        <f>SUM('Raw Values'!$C20 * 'Raw Values'!$B20/2 * ('Raw Values'!$D20 ^ (900/500)))</f>
        <v>11.38325042532964</v>
      </c>
      <c r="O20" s="15">
        <f>SUM('Raw Values'!$C20 * 'Raw Values'!$B20/2 * ('Raw Values'!$D20 ^ (1000/500)))</f>
        <v>10.886400000000004</v>
      </c>
      <c r="P20" s="15">
        <f>SUM('Raw Values'!$C20 * 'Raw Values'!$B20/2 * ('Raw Values'!$D20 ^ (1100/500)))</f>
        <v>10.41123585371426</v>
      </c>
      <c r="Q20" s="15">
        <f>SUM('Raw Values'!$C20 * 'Raw Values'!$B20/2 * ('Raw Values'!$D20 ^ (1200/500)))</f>
        <v>9.9568114346032921</v>
      </c>
      <c r="R20" s="15">
        <f>SUM('Raw Values'!$C20 * 'Raw Values'!$B20/2 * ('Raw Values'!$D20 ^ (1300/500)))</f>
        <v>9.5222215054208839</v>
      </c>
      <c r="S20" s="15">
        <f>SUM('Raw Values'!$C20 * 'Raw Values'!$B20/2 * ('Raw Values'!$D20 ^ (1400/500)))</f>
        <v>9.1066003402637126</v>
      </c>
      <c r="T20" s="15">
        <f>SUM('Raw Values'!$C20 * 'Raw Values'!$B20/2 * ('Raw Values'!$D20 ^ (1500/500)))</f>
        <v>8.7091200000000022</v>
      </c>
      <c r="U20" s="176"/>
      <c r="V20" s="15">
        <f>SUM('Raw Values'!$C20 * 'Raw Values'!$B20/2 * ('Raw Values'!$D20 ^ (2000/500)))</f>
        <v>6.9672960000000037</v>
      </c>
      <c r="W20" s="15">
        <f>SUM('Raw Values'!$C20 * 'Raw Values'!$B20/2 * ('Raw Values'!$D20 ^ (2500/500)))</f>
        <v>5.573836800000004</v>
      </c>
      <c r="X20" s="15">
        <f>SUM('Raw Values'!$C20 * 'Raw Values'!$B20/2 * ('Raw Values'!$D20 ^ (3000/500)))</f>
        <v>4.459069440000003</v>
      </c>
      <c r="Y20" s="176"/>
      <c r="Z20" s="213">
        <f>SUM(500*(LOG(50/(C20*'Raw Values'!$E20*B20/2))/LOG('Raw Values'!$D20)))</f>
        <v>690.30173689786807</v>
      </c>
      <c r="AA20" s="213" t="s">
        <v>236</v>
      </c>
      <c r="AB20" s="15">
        <f>SUM(F20 * 1/'Raw Values'!$F20)</f>
        <v>203.34445026785664</v>
      </c>
      <c r="AC20" s="15">
        <f>SUM(H20 * 1/'Raw Values'!$F20)</f>
        <v>185.98088877775163</v>
      </c>
      <c r="AD20" s="15">
        <f>SUM(K20 * 1/'Raw Values'!$F20)</f>
        <v>162.6755602142853</v>
      </c>
      <c r="AE20" s="15">
        <f>SUM(Q20 * 1/'Raw Values'!$F20)</f>
        <v>124.46014293254115</v>
      </c>
    </row>
    <row r="21" spans="1:31" ht="15.75" customHeight="1" x14ac:dyDescent="0.15">
      <c r="A21" s="36" t="s">
        <v>160</v>
      </c>
      <c r="B21" s="212">
        <f>'Raw Values'!B21</f>
        <v>1.1499999999999999</v>
      </c>
      <c r="C21" s="18">
        <f>'Raw Values'!C21</f>
        <v>29</v>
      </c>
      <c r="D21" s="15">
        <f>'Raw Values'!D21</f>
        <v>0.8</v>
      </c>
      <c r="E21" s="176"/>
      <c r="F21" s="15">
        <f>SUM('Raw Values'!$C21 * 'Raw Values'!$B21/2 * ('Raw Values'!$D21 ^ (100/500)))</f>
        <v>15.947177933998864</v>
      </c>
      <c r="G21" s="15">
        <f>SUM('Raw Values'!$C21 * 'Raw Values'!$B21/2 * ('Raw Values'!$D21 ^ (200/500)))</f>
        <v>15.251123481776331</v>
      </c>
      <c r="H21" s="15">
        <f>SUM('Raw Values'!$C21 * 'Raw Values'!$B21/2 * ('Raw Values'!$D21 ^ (300/500)))</f>
        <v>14.585450066403327</v>
      </c>
      <c r="I21" s="15">
        <f>SUM('Raw Values'!$C21 * 'Raw Values'!$B21/2 * ('Raw Values'!$D21 ^ (400/500)))</f>
        <v>13.948831631567584</v>
      </c>
      <c r="J21" s="15">
        <f>SUM('Raw Values'!$C21 * 'Raw Values'!$B21/2 * ('Raw Values'!$D21 ^ (500/500)))</f>
        <v>13.339999999999998</v>
      </c>
      <c r="K21" s="15">
        <f>SUM('Raw Values'!$C21 * 'Raw Values'!$B21/2 * ('Raw Values'!$D21 ^ (600/500)))</f>
        <v>12.757742347199091</v>
      </c>
      <c r="L21" s="15">
        <f>SUM('Raw Values'!$C21 * 'Raw Values'!$B21/2 * ('Raw Values'!$D21 ^ (700/500)))</f>
        <v>12.200898785421066</v>
      </c>
      <c r="M21" s="15">
        <f>SUM('Raw Values'!$C21 * 'Raw Values'!$B21/2 * ('Raw Values'!$D21 ^ (800/500)))</f>
        <v>11.668360053122662</v>
      </c>
      <c r="N21" s="15">
        <f>SUM('Raw Values'!$C21 * 'Raw Values'!$B21/2 * ('Raw Values'!$D21 ^ (900/500)))</f>
        <v>11.159065305254067</v>
      </c>
      <c r="O21" s="15">
        <f>SUM('Raw Values'!$C21 * 'Raw Values'!$B21/2 * ('Raw Values'!$D21 ^ (1000/500)))</f>
        <v>10.672000000000001</v>
      </c>
      <c r="P21" s="15">
        <f>SUM('Raw Values'!$C21 * 'Raw Values'!$B21/2 * ('Raw Values'!$D21 ^ (1100/500)))</f>
        <v>10.206193877759274</v>
      </c>
      <c r="Q21" s="15">
        <f>SUM('Raw Values'!$C21 * 'Raw Values'!$B21/2 * ('Raw Values'!$D21 ^ (1200/500)))</f>
        <v>9.7607190283368528</v>
      </c>
      <c r="R21" s="15">
        <f>SUM('Raw Values'!$C21 * 'Raw Values'!$B21/2 * ('Raw Values'!$D21 ^ (1300/500)))</f>
        <v>9.3346880424981311</v>
      </c>
      <c r="S21" s="15">
        <f>SUM('Raw Values'!$C21 * 'Raw Values'!$B21/2 * ('Raw Values'!$D21 ^ (1400/500)))</f>
        <v>8.9272522442032543</v>
      </c>
      <c r="T21" s="15">
        <f>SUM('Raw Values'!$C21 * 'Raw Values'!$B21/2 * ('Raw Values'!$D21 ^ (1500/500)))</f>
        <v>8.5376000000000012</v>
      </c>
      <c r="U21" s="176"/>
      <c r="V21" s="15">
        <f>SUM('Raw Values'!$C21 * 'Raw Values'!$B21/2 * ('Raw Values'!$D21 ^ (2000/500)))</f>
        <v>6.8300800000000024</v>
      </c>
      <c r="W21" s="15">
        <f>SUM('Raw Values'!$C21 * 'Raw Values'!$B21/2 * ('Raw Values'!$D21 ^ (2500/500)))</f>
        <v>5.4640640000000023</v>
      </c>
      <c r="X21" s="15">
        <f>SUM('Raw Values'!$C21 * 'Raw Values'!$B21/2 * ('Raw Values'!$D21 ^ (3000/500)))</f>
        <v>4.3712512000000014</v>
      </c>
      <c r="Y21" s="176"/>
      <c r="Z21" s="213">
        <f>SUM(500*(LOG(50/(C21*'Raw Values'!$E21*B21/2))/LOG('Raw Values'!$D21)))</f>
        <v>645.73218853105266</v>
      </c>
      <c r="AA21" s="213" t="s">
        <v>236</v>
      </c>
      <c r="AB21" s="15">
        <f>SUM(F21 * 1/'Raw Values'!$F21)</f>
        <v>212.62903911998487</v>
      </c>
      <c r="AC21" s="15">
        <f>SUM(H21 * 1/'Raw Values'!$F21)</f>
        <v>194.47266755204436</v>
      </c>
      <c r="AD21" s="15">
        <f>SUM(K21 * 1/'Raw Values'!$F21)</f>
        <v>170.10323129598788</v>
      </c>
      <c r="AE21" s="15">
        <f>SUM(Q21 * 1/'Raw Values'!$F21)</f>
        <v>130.14292037782471</v>
      </c>
    </row>
    <row r="22" spans="1:31" ht="15.75" customHeight="1" x14ac:dyDescent="0.15">
      <c r="A22" s="9" t="s">
        <v>161</v>
      </c>
      <c r="B22" s="212">
        <f>'Raw Values'!B22</f>
        <v>1.25</v>
      </c>
      <c r="C22" s="18">
        <f>'Raw Values'!C22</f>
        <v>29</v>
      </c>
      <c r="D22" s="15">
        <f>'Raw Values'!D22</f>
        <v>0.85</v>
      </c>
      <c r="E22" s="176"/>
      <c r="F22" s="15">
        <f>SUM('Raw Values'!$C22 * 'Raw Values'!$B22/2 * ('Raw Values'!$D22 ^ (100/500)))</f>
        <v>17.545340478169976</v>
      </c>
      <c r="G22" s="15">
        <f>SUM('Raw Values'!$C22 * 'Raw Values'!$B22/2 * ('Raw Values'!$D22 ^ (200/500)))</f>
        <v>16.984219172132953</v>
      </c>
      <c r="H22" s="15">
        <f>SUM('Raw Values'!$C22 * 'Raw Values'!$B22/2 * ('Raw Values'!$D22 ^ (300/500)))</f>
        <v>16.441043207223991</v>
      </c>
      <c r="I22" s="15">
        <f>SUM('Raw Values'!$C22 * 'Raw Values'!$B22/2 * ('Raw Values'!$D22 ^ (400/500)))</f>
        <v>15.915238669630268</v>
      </c>
      <c r="J22" s="15">
        <f>SUM('Raw Values'!$C22 * 'Raw Values'!$B22/2 * ('Raw Values'!$D22 ^ (500/500)))</f>
        <v>15.40625</v>
      </c>
      <c r="K22" s="15">
        <f>SUM('Raw Values'!$C22 * 'Raw Values'!$B22/2 * ('Raw Values'!$D22 ^ (600/500)))</f>
        <v>14.913539406444478</v>
      </c>
      <c r="L22" s="15">
        <f>SUM('Raw Values'!$C22 * 'Raw Values'!$B22/2 * ('Raw Values'!$D22 ^ (700/500)))</f>
        <v>14.43658629631301</v>
      </c>
      <c r="M22" s="15">
        <f>SUM('Raw Values'!$C22 * 'Raw Values'!$B22/2 * ('Raw Values'!$D22 ^ (800/500)))</f>
        <v>13.974886726140392</v>
      </c>
      <c r="N22" s="15">
        <f>SUM('Raw Values'!$C22 * 'Raw Values'!$B22/2 * ('Raw Values'!$D22 ^ (900/500)))</f>
        <v>13.527952869185727</v>
      </c>
      <c r="O22" s="15">
        <f>SUM('Raw Values'!$C22 * 'Raw Values'!$B22/2 * ('Raw Values'!$D22 ^ (1000/500)))</f>
        <v>13.095312499999999</v>
      </c>
      <c r="P22" s="15">
        <f>SUM('Raw Values'!$C22 * 'Raw Values'!$B22/2 * ('Raw Values'!$D22 ^ (1100/500)))</f>
        <v>12.676508495477806</v>
      </c>
      <c r="Q22" s="15">
        <f>SUM('Raw Values'!$C22 * 'Raw Values'!$B22/2 * ('Raw Values'!$D22 ^ (1200/500)))</f>
        <v>12.271098351866058</v>
      </c>
      <c r="R22" s="15">
        <f>SUM('Raw Values'!$C22 * 'Raw Values'!$B22/2 * ('Raw Values'!$D22 ^ (1300/500)))</f>
        <v>11.878653717219334</v>
      </c>
      <c r="S22" s="15">
        <f>SUM('Raw Values'!$C22 * 'Raw Values'!$B22/2 * ('Raw Values'!$D22 ^ (1400/500)))</f>
        <v>11.498759938807869</v>
      </c>
      <c r="T22" s="15">
        <f>SUM('Raw Values'!$C22 * 'Raw Values'!$B22/2 * ('Raw Values'!$D22 ^ (1500/500)))</f>
        <v>11.131015624999998</v>
      </c>
      <c r="U22" s="176"/>
      <c r="V22" s="15">
        <f>SUM('Raw Values'!$C22 * 'Raw Values'!$B22/2 * ('Raw Values'!$D22 ^ (2000/500)))</f>
        <v>9.4613632812499979</v>
      </c>
      <c r="W22" s="15">
        <f>SUM('Raw Values'!$C22 * 'Raw Values'!$B22/2 * ('Raw Values'!$D22 ^ (2500/500)))</f>
        <v>8.0421587890624977</v>
      </c>
      <c r="X22" s="15">
        <f>SUM('Raw Values'!$C22 * 'Raw Values'!$B22/2 * ('Raw Values'!$D22 ^ (3000/500)))</f>
        <v>6.8358349707031225</v>
      </c>
      <c r="Y22" s="176"/>
      <c r="Z22" s="213">
        <f>SUM(500*(LOG(50/(C22*'Raw Values'!$E22*B22/2))/LOG('Raw Values'!$D22)))</f>
        <v>1143.1393179265619</v>
      </c>
      <c r="AA22" s="213" t="s">
        <v>236</v>
      </c>
      <c r="AB22" s="15">
        <f>SUM(F22 * 1/'Raw Values'!$F22)</f>
        <v>219.3167559771247</v>
      </c>
      <c r="AC22" s="15">
        <f>SUM(H22 * 1/'Raw Values'!$F22)</f>
        <v>205.51304009029988</v>
      </c>
      <c r="AD22" s="15">
        <f>SUM(K22 * 1/'Raw Values'!$F22)</f>
        <v>186.41924258055596</v>
      </c>
      <c r="AE22" s="15">
        <f>SUM(Q22 * 1/'Raw Values'!$F22)</f>
        <v>153.38872939832572</v>
      </c>
    </row>
    <row r="23" spans="1:31" ht="15.75" customHeight="1" x14ac:dyDescent="0.15">
      <c r="A23" s="53" t="s">
        <v>162</v>
      </c>
      <c r="B23" s="212">
        <f>'Raw Values'!B23</f>
        <v>1.25</v>
      </c>
      <c r="C23" s="18">
        <f>'Raw Values'!C23</f>
        <v>27</v>
      </c>
      <c r="D23" s="15">
        <f>'Raw Values'!D23</f>
        <v>0.85</v>
      </c>
      <c r="E23" s="176"/>
      <c r="F23" s="15">
        <f>SUM('Raw Values'!$C23 * 'Raw Values'!$B23/2 * ('Raw Values'!$D23 ^ (100/500)))</f>
        <v>16.335316996916873</v>
      </c>
      <c r="G23" s="15">
        <f>SUM('Raw Values'!$C23 * 'Raw Values'!$B23/2 * ('Raw Values'!$D23 ^ (200/500)))</f>
        <v>15.812893711985854</v>
      </c>
      <c r="H23" s="15">
        <f>SUM('Raw Values'!$C23 * 'Raw Values'!$B23/2 * ('Raw Values'!$D23 ^ (300/500)))</f>
        <v>15.307178158449924</v>
      </c>
      <c r="I23" s="15">
        <f>SUM('Raw Values'!$C23 * 'Raw Values'!$B23/2 * ('Raw Values'!$D23 ^ (400/500)))</f>
        <v>14.817636002759215</v>
      </c>
      <c r="J23" s="15">
        <f>SUM('Raw Values'!$C23 * 'Raw Values'!$B23/2 * ('Raw Values'!$D23 ^ (500/500)))</f>
        <v>14.34375</v>
      </c>
      <c r="K23" s="15">
        <f>SUM('Raw Values'!$C23 * 'Raw Values'!$B23/2 * ('Raw Values'!$D23 ^ (600/500)))</f>
        <v>13.885019447379342</v>
      </c>
      <c r="L23" s="15">
        <f>SUM('Raw Values'!$C23 * 'Raw Values'!$B23/2 * ('Raw Values'!$D23 ^ (700/500)))</f>
        <v>13.440959655187974</v>
      </c>
      <c r="M23" s="15">
        <f>SUM('Raw Values'!$C23 * 'Raw Values'!$B23/2 * ('Raw Values'!$D23 ^ (800/500)))</f>
        <v>13.011101434682434</v>
      </c>
      <c r="N23" s="15">
        <f>SUM('Raw Values'!$C23 * 'Raw Values'!$B23/2 * ('Raw Values'!$D23 ^ (900/500)))</f>
        <v>12.594990602345332</v>
      </c>
      <c r="O23" s="15">
        <f>SUM('Raw Values'!$C23 * 'Raw Values'!$B23/2 * ('Raw Values'!$D23 ^ (1000/500)))</f>
        <v>12.192187499999999</v>
      </c>
      <c r="P23" s="15">
        <f>SUM('Raw Values'!$C23 * 'Raw Values'!$B23/2 * ('Raw Values'!$D23 ^ (1100/500)))</f>
        <v>11.802266530272441</v>
      </c>
      <c r="Q23" s="15">
        <f>SUM('Raw Values'!$C23 * 'Raw Values'!$B23/2 * ('Raw Values'!$D23 ^ (1200/500)))</f>
        <v>11.424815706909779</v>
      </c>
      <c r="R23" s="15">
        <f>SUM('Raw Values'!$C23 * 'Raw Values'!$B23/2 * ('Raw Values'!$D23 ^ (1300/500)))</f>
        <v>11.059436219480069</v>
      </c>
      <c r="S23" s="15">
        <f>SUM('Raw Values'!$C23 * 'Raw Values'!$B23/2 * ('Raw Values'!$D23 ^ (1400/500)))</f>
        <v>10.705742011993532</v>
      </c>
      <c r="T23" s="15">
        <f>SUM('Raw Values'!$C23 * 'Raw Values'!$B23/2 * ('Raw Values'!$D23 ^ (1500/500)))</f>
        <v>10.363359374999998</v>
      </c>
      <c r="U23" s="176"/>
      <c r="V23" s="15">
        <f>SUM('Raw Values'!$C23 * 'Raw Values'!$B23/2 * ('Raw Values'!$D23 ^ (2000/500)))</f>
        <v>8.8088554687499983</v>
      </c>
      <c r="W23" s="15">
        <f>SUM('Raw Values'!$C23 * 'Raw Values'!$B23/2 * ('Raw Values'!$D23 ^ (2500/500)))</f>
        <v>7.4875271484374979</v>
      </c>
      <c r="X23" s="15">
        <f>SUM('Raw Values'!$C23 * 'Raw Values'!$B23/2 * ('Raw Values'!$D23 ^ (3000/500)))</f>
        <v>6.3643980761718728</v>
      </c>
      <c r="Y23" s="176"/>
      <c r="Z23" s="213">
        <f>SUM(500*(LOG(50/(C23*'Raw Values'!$E23*B23/2))/LOG('Raw Values'!$D23)))</f>
        <v>923.29119253288854</v>
      </c>
      <c r="AA23" s="213" t="s">
        <v>236</v>
      </c>
      <c r="AB23" s="15">
        <f>SUM(F23 * 1/'Raw Values'!$F23)</f>
        <v>204.1914624614609</v>
      </c>
      <c r="AC23" s="15">
        <f>SUM(H23 * 1/'Raw Values'!$F23)</f>
        <v>191.33972698062405</v>
      </c>
      <c r="AD23" s="15">
        <f>SUM(K23 * 1/'Raw Values'!$F23)</f>
        <v>173.56274309224176</v>
      </c>
      <c r="AE23" s="15">
        <f>SUM(Q23 * 1/'Raw Values'!$F23)</f>
        <v>142.81019633637223</v>
      </c>
    </row>
    <row r="24" spans="1:31" ht="15.75" customHeight="1" x14ac:dyDescent="0.15">
      <c r="A24" s="35" t="s">
        <v>163</v>
      </c>
      <c r="B24" s="212">
        <f>'Raw Values'!B24</f>
        <v>1.2</v>
      </c>
      <c r="C24" s="18">
        <f>'Raw Values'!C24</f>
        <v>26</v>
      </c>
      <c r="D24" s="15">
        <f>'Raw Values'!D24</f>
        <v>0.87</v>
      </c>
      <c r="E24" s="176"/>
      <c r="F24" s="15">
        <f>SUM('Raw Values'!$C24 * 'Raw Values'!$B24/2 * ('Raw Values'!$D24 ^ (100/500)))</f>
        <v>15.171497465592326</v>
      </c>
      <c r="G24" s="15">
        <f>SUM('Raw Values'!$C24 * 'Raw Values'!$B24/2 * ('Raw Values'!$D24 ^ (200/500)))</f>
        <v>14.754765086440665</v>
      </c>
      <c r="H24" s="15">
        <f>SUM('Raw Values'!$C24 * 'Raw Values'!$B24/2 * ('Raw Values'!$D24 ^ (300/500)))</f>
        <v>14.34947955861184</v>
      </c>
      <c r="I24" s="15">
        <f>SUM('Raw Values'!$C24 * 'Raw Values'!$B24/2 * ('Raw Values'!$D24 ^ (400/500)))</f>
        <v>13.955326458721053</v>
      </c>
      <c r="J24" s="15">
        <f>SUM('Raw Values'!$C24 * 'Raw Values'!$B24/2 * ('Raw Values'!$D24 ^ (500/500)))</f>
        <v>13.571999999999999</v>
      </c>
      <c r="K24" s="15">
        <f>SUM('Raw Values'!$C24 * 'Raw Values'!$B24/2 * ('Raw Values'!$D24 ^ (600/500)))</f>
        <v>13.199202795065323</v>
      </c>
      <c r="L24" s="15">
        <f>SUM('Raw Values'!$C24 * 'Raw Values'!$B24/2 * ('Raw Values'!$D24 ^ (700/500)))</f>
        <v>12.836645625203378</v>
      </c>
      <c r="M24" s="15">
        <f>SUM('Raw Values'!$C24 * 'Raw Values'!$B24/2 * ('Raw Values'!$D24 ^ (800/500)))</f>
        <v>12.4840472159923</v>
      </c>
      <c r="N24" s="15">
        <f>SUM('Raw Values'!$C24 * 'Raw Values'!$B24/2 * ('Raw Values'!$D24 ^ (900/500)))</f>
        <v>12.141134019087316</v>
      </c>
      <c r="O24" s="15">
        <f>SUM('Raw Values'!$C24 * 'Raw Values'!$B24/2 * ('Raw Values'!$D24 ^ (1000/500)))</f>
        <v>11.807639999999999</v>
      </c>
      <c r="P24" s="15">
        <f>SUM('Raw Values'!$C24 * 'Raw Values'!$B24/2 * ('Raw Values'!$D24 ^ (1100/500)))</f>
        <v>11.483306431706831</v>
      </c>
      <c r="Q24" s="15">
        <f>SUM('Raw Values'!$C24 * 'Raw Values'!$B24/2 * ('Raw Values'!$D24 ^ (1200/500)))</f>
        <v>11.16788169392694</v>
      </c>
      <c r="R24" s="15">
        <f>SUM('Raw Values'!$C24 * 'Raw Values'!$B24/2 * ('Raw Values'!$D24 ^ (1300/500)))</f>
        <v>10.861121077913301</v>
      </c>
      <c r="S24" s="15">
        <f>SUM('Raw Values'!$C24 * 'Raw Values'!$B24/2 * ('Raw Values'!$D24 ^ (1400/500)))</f>
        <v>10.562786596605966</v>
      </c>
      <c r="T24" s="15">
        <f>SUM('Raw Values'!$C24 * 'Raw Values'!$B24/2 * ('Raw Values'!$D24 ^ (1500/500)))</f>
        <v>10.2726468</v>
      </c>
      <c r="U24" s="176"/>
      <c r="V24" s="15">
        <f>SUM('Raw Values'!$C24 * 'Raw Values'!$B24/2 * ('Raw Values'!$D24 ^ (2000/500)))</f>
        <v>8.9372027159999998</v>
      </c>
      <c r="W24" s="15">
        <f>SUM('Raw Values'!$C24 * 'Raw Values'!$B24/2 * ('Raw Values'!$D24 ^ (2500/500)))</f>
        <v>7.7753663629200007</v>
      </c>
      <c r="X24" s="15">
        <f>SUM('Raw Values'!$C24 * 'Raw Values'!$B24/2 * ('Raw Values'!$D24 ^ (3000/500)))</f>
        <v>6.7645687357404007</v>
      </c>
      <c r="Y24" s="176"/>
      <c r="Z24" s="213">
        <f>SUM(500*(LOG(50/(C24*'Raw Values'!$E24*B24/2))/LOG('Raw Values'!$D24)))</f>
        <v>795.41498338051338</v>
      </c>
      <c r="AA24" s="213" t="s">
        <v>236</v>
      </c>
      <c r="AB24" s="15">
        <f>SUM(F24 * 1/'Raw Values'!$F24)</f>
        <v>216.73567807989036</v>
      </c>
      <c r="AC24" s="15">
        <f>SUM(H24 * 1/'Raw Values'!$F24)</f>
        <v>204.99256512302625</v>
      </c>
      <c r="AD24" s="15">
        <f>SUM(K24 * 1/'Raw Values'!$F24)</f>
        <v>188.5600399295046</v>
      </c>
      <c r="AE24" s="15">
        <f>SUM(Q24 * 1/'Raw Values'!$F24)</f>
        <v>159.54116705609914</v>
      </c>
    </row>
    <row r="25" spans="1:31" ht="15.75" customHeight="1" x14ac:dyDescent="0.15">
      <c r="A25" s="9" t="s">
        <v>164</v>
      </c>
      <c r="B25" s="212">
        <f>'Raw Values'!B25</f>
        <v>1.38</v>
      </c>
      <c r="C25" s="18">
        <f>'Raw Values'!C25</f>
        <v>26</v>
      </c>
      <c r="D25" s="15">
        <f>'Raw Values'!D25</f>
        <v>0.86</v>
      </c>
      <c r="E25" s="176"/>
      <c r="F25" s="15">
        <f>SUM('Raw Values'!$C25 * 'Raw Values'!$B25/2 * ('Raw Values'!$D25 ^ (100/500)))</f>
        <v>17.406927839660163</v>
      </c>
      <c r="G25" s="15">
        <f>SUM('Raw Values'!$C25 * 'Raw Values'!$B25/2 * ('Raw Values'!$D25 ^ (200/500)))</f>
        <v>16.889695474645265</v>
      </c>
      <c r="H25" s="15">
        <f>SUM('Raw Values'!$C25 * 'Raw Values'!$B25/2 * ('Raw Values'!$D25 ^ (300/500)))</f>
        <v>16.387832238627929</v>
      </c>
      <c r="I25" s="15">
        <f>SUM('Raw Values'!$C25 * 'Raw Values'!$B25/2 * ('Raw Values'!$D25 ^ (400/500)))</f>
        <v>15.900881450738732</v>
      </c>
      <c r="J25" s="15">
        <f>SUM('Raw Values'!$C25 * 'Raw Values'!$B25/2 * ('Raw Values'!$D25 ^ (500/500)))</f>
        <v>15.428399999999998</v>
      </c>
      <c r="K25" s="15">
        <f>SUM('Raw Values'!$C25 * 'Raw Values'!$B25/2 * ('Raw Values'!$D25 ^ (600/500)))</f>
        <v>14.96995794210774</v>
      </c>
      <c r="L25" s="15">
        <f>SUM('Raw Values'!$C25 * 'Raw Values'!$B25/2 * ('Raw Values'!$D25 ^ (700/500)))</f>
        <v>14.52513810819493</v>
      </c>
      <c r="M25" s="15">
        <f>SUM('Raw Values'!$C25 * 'Raw Values'!$B25/2 * ('Raw Values'!$D25 ^ (800/500)))</f>
        <v>14.093535725220017</v>
      </c>
      <c r="N25" s="15">
        <f>SUM('Raw Values'!$C25 * 'Raw Values'!$B25/2 * ('Raw Values'!$D25 ^ (900/500)))</f>
        <v>13.67475804763531</v>
      </c>
      <c r="O25" s="15">
        <f>SUM('Raw Values'!$C25 * 'Raw Values'!$B25/2 * ('Raw Values'!$D25 ^ (1000/500)))</f>
        <v>13.268423999999998</v>
      </c>
      <c r="P25" s="15">
        <f>SUM('Raw Values'!$C25 * 'Raw Values'!$B25/2 * ('Raw Values'!$D25 ^ (1100/500)))</f>
        <v>12.874163830212657</v>
      </c>
      <c r="Q25" s="15">
        <f>SUM('Raw Values'!$C25 * 'Raw Values'!$B25/2 * ('Raw Values'!$D25 ^ (1200/500)))</f>
        <v>12.491618773047639</v>
      </c>
      <c r="R25" s="15">
        <f>SUM('Raw Values'!$C25 * 'Raw Values'!$B25/2 * ('Raw Values'!$D25 ^ (1300/500)))</f>
        <v>12.120440723689214</v>
      </c>
      <c r="S25" s="15">
        <f>SUM('Raw Values'!$C25 * 'Raw Values'!$B25/2 * ('Raw Values'!$D25 ^ (1400/500)))</f>
        <v>11.760291920966365</v>
      </c>
      <c r="T25" s="15">
        <f>SUM('Raw Values'!$C25 * 'Raw Values'!$B25/2 * ('Raw Values'!$D25 ^ (1500/500)))</f>
        <v>11.410844639999997</v>
      </c>
      <c r="U25" s="176"/>
      <c r="V25" s="15">
        <f>SUM('Raw Values'!$C25 * 'Raw Values'!$B25/2 * ('Raw Values'!$D25 ^ (2000/500)))</f>
        <v>9.8133263903999968</v>
      </c>
      <c r="W25" s="15">
        <f>SUM('Raw Values'!$C25 * 'Raw Values'!$B25/2 * ('Raw Values'!$D25 ^ (2500/500)))</f>
        <v>8.4394606957439962</v>
      </c>
      <c r="X25" s="15">
        <f>SUM('Raw Values'!$C25 * 'Raw Values'!$B25/2 * ('Raw Values'!$D25 ^ (3000/500)))</f>
        <v>7.2579361983398361</v>
      </c>
      <c r="Y25" s="176"/>
      <c r="Z25" s="213">
        <f>SUM(500*(LOG(50/(C25*'Raw Values'!$E25*B25/2))/LOG('Raw Values'!$D25)))</f>
        <v>1197.7764547483923</v>
      </c>
      <c r="AA25" s="213" t="s">
        <v>236</v>
      </c>
      <c r="AB25" s="15">
        <f>SUM(F25 * 1/'Raw Values'!$F25)</f>
        <v>248.67039770943089</v>
      </c>
      <c r="AC25" s="15">
        <f>SUM(H25 * 1/'Raw Values'!$F25)</f>
        <v>234.11188912325611</v>
      </c>
      <c r="AD25" s="15">
        <f>SUM(K25 * 1/'Raw Values'!$F25)</f>
        <v>213.85654203011055</v>
      </c>
      <c r="AE25" s="15">
        <f>SUM(Q25 * 1/'Raw Values'!$F25)</f>
        <v>178.45169675782341</v>
      </c>
    </row>
    <row r="26" spans="1:31" ht="15.75" customHeight="1" x14ac:dyDescent="0.15">
      <c r="A26" s="9" t="s">
        <v>165</v>
      </c>
      <c r="B26" s="212">
        <f>'Raw Values'!B26</f>
        <v>1.3</v>
      </c>
      <c r="C26" s="18">
        <f>'Raw Values'!C26</f>
        <v>35</v>
      </c>
      <c r="D26" s="15">
        <f>'Raw Values'!D26</f>
        <v>0.75</v>
      </c>
      <c r="E26" s="176"/>
      <c r="F26" s="15">
        <f>SUM('Raw Values'!$C26 * 'Raw Values'!$B26/2 * ('Raw Values'!$D26 ^ (100/500)))</f>
        <v>21.47799088195902</v>
      </c>
      <c r="G26" s="15">
        <f>SUM('Raw Values'!$C26 * 'Raw Values'!$B26/2 * ('Raw Values'!$D26 ^ (200/500)))</f>
        <v>20.277102959363287</v>
      </c>
      <c r="H26" s="15">
        <f>SUM('Raw Values'!$C26 * 'Raw Values'!$B26/2 * ('Raw Values'!$D26 ^ (300/500)))</f>
        <v>19.14335966917578</v>
      </c>
      <c r="I26" s="15">
        <f>SUM('Raw Values'!$C26 * 'Raw Values'!$B26/2 * ('Raw Values'!$D26 ^ (400/500)))</f>
        <v>18.073006787895359</v>
      </c>
      <c r="J26" s="15">
        <f>SUM('Raw Values'!$C26 * 'Raw Values'!$B26/2 * ('Raw Values'!$D26 ^ (500/500)))</f>
        <v>17.0625</v>
      </c>
      <c r="K26" s="15">
        <f>SUM('Raw Values'!$C26 * 'Raw Values'!$B26/2 * ('Raw Values'!$D26 ^ (600/500)))</f>
        <v>16.108493161469266</v>
      </c>
      <c r="L26" s="15">
        <f>SUM('Raw Values'!$C26 * 'Raw Values'!$B26/2 * ('Raw Values'!$D26 ^ (700/500)))</f>
        <v>15.207827219522466</v>
      </c>
      <c r="M26" s="15">
        <f>SUM('Raw Values'!$C26 * 'Raw Values'!$B26/2 * ('Raw Values'!$D26 ^ (800/500)))</f>
        <v>14.357519751881835</v>
      </c>
      <c r="N26" s="15">
        <f>SUM('Raw Values'!$C26 * 'Raw Values'!$B26/2 * ('Raw Values'!$D26 ^ (900/500)))</f>
        <v>13.554755090921521</v>
      </c>
      <c r="O26" s="15">
        <f>SUM('Raw Values'!$C26 * 'Raw Values'!$B26/2 * ('Raw Values'!$D26 ^ (1000/500)))</f>
        <v>12.796875</v>
      </c>
      <c r="P26" s="15">
        <f>SUM('Raw Values'!$C26 * 'Raw Values'!$B26/2 * ('Raw Values'!$D26 ^ (1100/500)))</f>
        <v>12.081369871101948</v>
      </c>
      <c r="Q26" s="15">
        <f>SUM('Raw Values'!$C26 * 'Raw Values'!$B26/2 * ('Raw Values'!$D26 ^ (1200/500)))</f>
        <v>11.405870414641852</v>
      </c>
      <c r="R26" s="15">
        <f>SUM('Raw Values'!$C26 * 'Raw Values'!$B26/2 * ('Raw Values'!$D26 ^ (1300/500)))</f>
        <v>10.768139813911377</v>
      </c>
      <c r="S26" s="15">
        <f>SUM('Raw Values'!$C26 * 'Raw Values'!$B26/2 * ('Raw Values'!$D26 ^ (1400/500)))</f>
        <v>10.16606631819114</v>
      </c>
      <c r="T26" s="15">
        <f>SUM('Raw Values'!$C26 * 'Raw Values'!$B26/2 * ('Raw Values'!$D26 ^ (1500/500)))</f>
        <v>9.59765625</v>
      </c>
      <c r="U26" s="176"/>
      <c r="V26" s="15">
        <f>SUM('Raw Values'!$C26 * 'Raw Values'!$B26/2 * ('Raw Values'!$D26 ^ (2000/500)))</f>
        <v>7.1982421875</v>
      </c>
      <c r="W26" s="15">
        <f>SUM('Raw Values'!$C26 * 'Raw Values'!$B26/2 * ('Raw Values'!$D26 ^ (2500/500)))</f>
        <v>5.398681640625</v>
      </c>
      <c r="X26" s="15">
        <f>SUM('Raw Values'!$C26 * 'Raw Values'!$B26/2 * ('Raw Values'!$D26 ^ (3000/500)))</f>
        <v>4.04901123046875</v>
      </c>
      <c r="Y26" s="176"/>
      <c r="Z26" s="213">
        <f>SUM(500*(LOG(50/(C26*'Raw Values'!$E26*B26/2))/LOG('Raw Values'!$D26)))</f>
        <v>1040.7956533146087</v>
      </c>
      <c r="AA26" s="213" t="s">
        <v>236</v>
      </c>
      <c r="AB26" s="15">
        <f>SUM(F26 * 1/'Raw Values'!$F26)</f>
        <v>238.64434313287799</v>
      </c>
      <c r="AC26" s="15">
        <f>SUM(H26 * 1/'Raw Values'!$F26)</f>
        <v>212.70399632417534</v>
      </c>
      <c r="AD26" s="15">
        <f>SUM(K26 * 1/'Raw Values'!$F26)</f>
        <v>178.98325734965852</v>
      </c>
      <c r="AE26" s="15">
        <f>SUM(Q26 * 1/'Raw Values'!$F26)</f>
        <v>126.73189349602058</v>
      </c>
    </row>
    <row r="27" spans="1:31" ht="15.75" customHeight="1" x14ac:dyDescent="0.15">
      <c r="A27" s="39"/>
      <c r="B27" s="98"/>
      <c r="C27" s="214"/>
      <c r="D27" s="41"/>
      <c r="E27" s="17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215"/>
      <c r="V27" s="39"/>
      <c r="W27" s="39"/>
      <c r="X27" s="39"/>
      <c r="Y27" s="179"/>
      <c r="Z27" s="219"/>
      <c r="AA27" s="216"/>
      <c r="AB27" s="41"/>
      <c r="AC27" s="41"/>
      <c r="AD27" s="41"/>
      <c r="AE27" s="41"/>
    </row>
    <row r="28" spans="1:31" ht="15.75" customHeight="1" x14ac:dyDescent="0.15">
      <c r="A28" s="1" t="s">
        <v>68</v>
      </c>
      <c r="B28" s="66" t="s">
        <v>262</v>
      </c>
      <c r="C28" s="210" t="s">
        <v>3</v>
      </c>
      <c r="D28" s="4" t="s">
        <v>93</v>
      </c>
      <c r="E28" s="204"/>
      <c r="F28" s="2" t="s">
        <v>239</v>
      </c>
      <c r="G28" s="2" t="s">
        <v>240</v>
      </c>
      <c r="H28" s="2" t="s">
        <v>241</v>
      </c>
      <c r="I28" s="2" t="s">
        <v>242</v>
      </c>
      <c r="J28" s="2" t="s">
        <v>243</v>
      </c>
      <c r="K28" s="2" t="s">
        <v>244</v>
      </c>
      <c r="L28" s="2" t="s">
        <v>245</v>
      </c>
      <c r="M28" s="2" t="s">
        <v>246</v>
      </c>
      <c r="N28" s="2" t="s">
        <v>247</v>
      </c>
      <c r="O28" s="2" t="s">
        <v>248</v>
      </c>
      <c r="P28" s="2" t="s">
        <v>249</v>
      </c>
      <c r="Q28" s="2" t="s">
        <v>250</v>
      </c>
      <c r="R28" s="2" t="s">
        <v>251</v>
      </c>
      <c r="S28" s="2" t="s">
        <v>252</v>
      </c>
      <c r="T28" s="2" t="s">
        <v>253</v>
      </c>
      <c r="U28" s="217"/>
      <c r="V28" s="205" t="s">
        <v>254</v>
      </c>
      <c r="W28" s="205" t="s">
        <v>255</v>
      </c>
      <c r="X28" s="205" t="s">
        <v>256</v>
      </c>
      <c r="Y28" s="220"/>
      <c r="Z28" s="221"/>
      <c r="AA28" s="209" t="s">
        <v>257</v>
      </c>
      <c r="AB28" s="4" t="s">
        <v>258</v>
      </c>
      <c r="AC28" s="4" t="s">
        <v>259</v>
      </c>
      <c r="AD28" s="4" t="s">
        <v>260</v>
      </c>
      <c r="AE28" s="4" t="s">
        <v>261</v>
      </c>
    </row>
    <row r="29" spans="1:31" ht="15.75" customHeight="1" x14ac:dyDescent="0.15">
      <c r="A29" s="36" t="s">
        <v>166</v>
      </c>
      <c r="B29" s="212">
        <f>'Raw Values'!B29</f>
        <v>1.55</v>
      </c>
      <c r="C29" s="18">
        <f>'Raw Values'!C29</f>
        <v>36</v>
      </c>
      <c r="D29" s="15">
        <f>'Raw Values'!D29</f>
        <v>0.98</v>
      </c>
      <c r="E29" s="176"/>
      <c r="F29" s="15">
        <f>SUM('Raw Values'!$C29 * 'Raw Values'!$B29/2 * ('Raw Values'!$D29 ^ (100/500)))</f>
        <v>27.787496334092655</v>
      </c>
      <c r="G29" s="15">
        <f>SUM('Raw Values'!$C29 * 'Raw Values'!$B29/2 * ('Raw Values'!$D29 ^ (200/500)))</f>
        <v>27.675446326781817</v>
      </c>
      <c r="H29" s="15">
        <f>SUM('Raw Values'!$C29 * 'Raw Values'!$B29/2 * ('Raw Values'!$D29 ^ (300/500)))</f>
        <v>27.563848148739346</v>
      </c>
      <c r="I29" s="15">
        <f>SUM('Raw Values'!$C29 * 'Raw Values'!$B29/2 * ('Raw Values'!$D29 ^ (400/500)))</f>
        <v>27.452699978013658</v>
      </c>
      <c r="J29" s="15">
        <f>SUM('Raw Values'!$C29 * 'Raw Values'!$B29/2 * ('Raw Values'!$D29 ^ (500/500)))</f>
        <v>27.342000000000002</v>
      </c>
      <c r="K29" s="15">
        <f>SUM('Raw Values'!$C29 * 'Raw Values'!$B29/2 * ('Raw Values'!$D29 ^ (600/500)))</f>
        <v>27.231746407410803</v>
      </c>
      <c r="L29" s="15">
        <f>SUM('Raw Values'!$C29 * 'Raw Values'!$B29/2 * ('Raw Values'!$D29 ^ (700/500)))</f>
        <v>27.121937400246178</v>
      </c>
      <c r="M29" s="15">
        <f>SUM('Raw Values'!$C29 * 'Raw Values'!$B29/2 * ('Raw Values'!$D29 ^ (800/500)))</f>
        <v>27.012571185764557</v>
      </c>
      <c r="N29" s="15">
        <f>SUM('Raw Values'!$C29 * 'Raw Values'!$B29/2 * ('Raw Values'!$D29 ^ (900/500)))</f>
        <v>26.903645978453387</v>
      </c>
      <c r="O29" s="15">
        <f>SUM('Raw Values'!$C29 * 'Raw Values'!$B29/2 * ('Raw Values'!$D29 ^ (1000/500)))</f>
        <v>26.795159999999999</v>
      </c>
      <c r="P29" s="15">
        <f>SUM('Raw Values'!$C29 * 'Raw Values'!$B29/2 * ('Raw Values'!$D29 ^ (1100/500)))</f>
        <v>26.687111479262587</v>
      </c>
      <c r="Q29" s="15">
        <f>SUM('Raw Values'!$C29 * 'Raw Values'!$B29/2 * ('Raw Values'!$D29 ^ (1200/500)))</f>
        <v>26.579498652241256</v>
      </c>
      <c r="R29" s="15">
        <f>SUM('Raw Values'!$C29 * 'Raw Values'!$B29/2 * ('Raw Values'!$D29 ^ (1300/500)))</f>
        <v>26.472319762049267</v>
      </c>
      <c r="S29" s="15">
        <f>SUM('Raw Values'!$C29 * 'Raw Values'!$B29/2 * ('Raw Values'!$D29 ^ (1400/500)))</f>
        <v>26.365573058884319</v>
      </c>
      <c r="T29" s="15">
        <f>SUM('Raw Values'!$C29 * 'Raw Values'!$B29/2 * ('Raw Values'!$D29 ^ (1500/500)))</f>
        <v>26.259256799999999</v>
      </c>
      <c r="U29" s="176"/>
      <c r="V29" s="15">
        <f>SUM('Raw Values'!$C29 * 'Raw Values'!$B29/2 * ('Raw Values'!$D29 ^ (2000/500)))</f>
        <v>25.734071663999998</v>
      </c>
      <c r="W29" s="15">
        <f>SUM('Raw Values'!$C29 * 'Raw Values'!$B29/2 * ('Raw Values'!$D29 ^ (2500/500)))</f>
        <v>25.219390230719998</v>
      </c>
      <c r="X29" s="15">
        <f>SUM('Raw Values'!$C29 * 'Raw Values'!$B29/2 * ('Raw Values'!$D29 ^ (3000/500)))</f>
        <v>24.715002426105595</v>
      </c>
      <c r="Y29" s="194"/>
      <c r="Z29" s="219"/>
      <c r="AA29" s="213">
        <f>SUM(500*(LOG(100/(C29*'Raw Values'!$E29*B29/2)))/LOG('Raw Values'!$D29))</f>
        <v>2716.2414975923821</v>
      </c>
      <c r="AB29" s="15">
        <f>SUM(F29 * 1/'Raw Values'!$F29)</f>
        <v>277.87496334092651</v>
      </c>
      <c r="AC29" s="15">
        <f>SUM(H29 * 1/'Raw Values'!$F29)</f>
        <v>275.63848148739345</v>
      </c>
      <c r="AD29" s="15">
        <f>SUM(K29 * 1/'Raw Values'!$F29)</f>
        <v>272.31746407410799</v>
      </c>
      <c r="AE29" s="15">
        <f>SUM(Q29 * 1/'Raw Values'!$F29)</f>
        <v>265.79498652241256</v>
      </c>
    </row>
    <row r="30" spans="1:31" ht="15.75" customHeight="1" x14ac:dyDescent="0.15">
      <c r="A30" s="35" t="s">
        <v>168</v>
      </c>
      <c r="B30" s="212">
        <f>'Raw Values'!B30</f>
        <v>1.8</v>
      </c>
      <c r="C30" s="18">
        <f>'Raw Values'!C30</f>
        <v>28</v>
      </c>
      <c r="D30" s="15">
        <f>'Raw Values'!D30</f>
        <v>0.98</v>
      </c>
      <c r="E30" s="176"/>
      <c r="F30" s="15">
        <f>SUM('Raw Values'!$C30 * 'Raw Values'!$B30/2 * ('Raw Values'!$D30 ^ (100/500)))</f>
        <v>25.098383785632073</v>
      </c>
      <c r="G30" s="15">
        <f>SUM('Raw Values'!$C30 * 'Raw Values'!$B30/2 * ('Raw Values'!$D30 ^ (200/500)))</f>
        <v>24.99717732741583</v>
      </c>
      <c r="H30" s="15">
        <f>SUM('Raw Values'!$C30 * 'Raw Values'!$B30/2 * ('Raw Values'!$D30 ^ (300/500)))</f>
        <v>24.89637897305489</v>
      </c>
      <c r="I30" s="15">
        <f>SUM('Raw Values'!$C30 * 'Raw Values'!$B30/2 * ('Raw Values'!$D30 ^ (400/500)))</f>
        <v>24.795987076915559</v>
      </c>
      <c r="J30" s="15">
        <f>SUM('Raw Values'!$C30 * 'Raw Values'!$B30/2 * ('Raw Values'!$D30 ^ (500/500)))</f>
        <v>24.695999999999998</v>
      </c>
      <c r="K30" s="15">
        <f>SUM('Raw Values'!$C30 * 'Raw Values'!$B30/2 * ('Raw Values'!$D30 ^ (600/500)))</f>
        <v>24.596416109919431</v>
      </c>
      <c r="L30" s="15">
        <f>SUM('Raw Values'!$C30 * 'Raw Values'!$B30/2 * ('Raw Values'!$D30 ^ (700/500)))</f>
        <v>24.497233780867514</v>
      </c>
      <c r="M30" s="15">
        <f>SUM('Raw Values'!$C30 * 'Raw Values'!$B30/2 * ('Raw Values'!$D30 ^ (800/500)))</f>
        <v>24.398451393593792</v>
      </c>
      <c r="N30" s="15">
        <f>SUM('Raw Values'!$C30 * 'Raw Values'!$B30/2 * ('Raw Values'!$D30 ^ (900/500)))</f>
        <v>24.30006733537725</v>
      </c>
      <c r="O30" s="15">
        <f>SUM('Raw Values'!$C30 * 'Raw Values'!$B30/2 * ('Raw Values'!$D30 ^ (1000/500)))</f>
        <v>24.202079999999999</v>
      </c>
      <c r="P30" s="15">
        <f>SUM('Raw Values'!$C30 * 'Raw Values'!$B30/2 * ('Raw Values'!$D30 ^ (1100/500)))</f>
        <v>24.104487787721041</v>
      </c>
      <c r="Q30" s="15">
        <f>SUM('Raw Values'!$C30 * 'Raw Values'!$B30/2 * ('Raw Values'!$D30 ^ (1200/500)))</f>
        <v>24.007289105250162</v>
      </c>
      <c r="R30" s="15">
        <f>SUM('Raw Values'!$C30 * 'Raw Values'!$B30/2 * ('Raw Values'!$D30 ^ (1300/500)))</f>
        <v>23.910482365721915</v>
      </c>
      <c r="S30" s="15">
        <f>SUM('Raw Values'!$C30 * 'Raw Values'!$B30/2 * ('Raw Values'!$D30 ^ (1400/500)))</f>
        <v>23.814065988669704</v>
      </c>
      <c r="T30" s="15">
        <f>SUM('Raw Values'!$C30 * 'Raw Values'!$B30/2 * ('Raw Values'!$D30 ^ (1500/500)))</f>
        <v>23.718038399999998</v>
      </c>
      <c r="U30" s="176"/>
      <c r="V30" s="15">
        <f>SUM('Raw Values'!$C30 * 'Raw Values'!$B30/2 * ('Raw Values'!$D30 ^ (2000/500)))</f>
        <v>23.243677631999997</v>
      </c>
      <c r="W30" s="15">
        <f>SUM('Raw Values'!$C30 * 'Raw Values'!$B30/2 * ('Raw Values'!$D30 ^ (2500/500)))</f>
        <v>22.778804079359993</v>
      </c>
      <c r="X30" s="15">
        <f>SUM('Raw Values'!$C30 * 'Raw Values'!$B30/2 * ('Raw Values'!$D30 ^ (3000/500)))</f>
        <v>22.323227997772793</v>
      </c>
      <c r="Y30" s="194"/>
      <c r="Z30" s="219"/>
      <c r="AA30" s="213">
        <f>SUM(500*(LOG(100/(C30*'Raw Values'!$E30*B30/2)))/LOG('Raw Values'!$D30))</f>
        <v>197.20549142111702</v>
      </c>
      <c r="AB30" s="15">
        <f>SUM(F30 * 1/'Raw Values'!$F30)</f>
        <v>250.98383785632072</v>
      </c>
      <c r="AC30" s="15">
        <f>SUM(H30 * 1/'Raw Values'!$F30)</f>
        <v>248.96378973054888</v>
      </c>
      <c r="AD30" s="15">
        <f>SUM(K30 * 1/'Raw Values'!$F30)</f>
        <v>245.96416109919431</v>
      </c>
      <c r="AE30" s="15">
        <f>SUM(Q30 * 1/'Raw Values'!$F30)</f>
        <v>240.0728910525016</v>
      </c>
    </row>
    <row r="31" spans="1:31" ht="15.75" customHeight="1" x14ac:dyDescent="0.15">
      <c r="A31" s="35" t="s">
        <v>169</v>
      </c>
      <c r="B31" s="212">
        <f>'Raw Values'!B31</f>
        <v>1.4</v>
      </c>
      <c r="C31" s="18">
        <f>'Raw Values'!C31</f>
        <v>30</v>
      </c>
      <c r="D31" s="15">
        <f>'Raw Values'!D31</f>
        <v>0.96</v>
      </c>
      <c r="E31" s="176"/>
      <c r="F31" s="15">
        <f>SUM('Raw Values'!$C31 * 'Raw Values'!$B31/2 * ('Raw Values'!$D31 ^ (100/500)))</f>
        <v>20.829245624933893</v>
      </c>
      <c r="G31" s="15">
        <f>SUM('Raw Values'!$C31 * 'Raw Values'!$B31/2 * ('Raw Values'!$D31 ^ (200/500)))</f>
        <v>20.659879681134651</v>
      </c>
      <c r="H31" s="15">
        <f>SUM('Raw Values'!$C31 * 'Raw Values'!$B31/2 * ('Raw Values'!$D31 ^ (300/500)))</f>
        <v>20.491890879044501</v>
      </c>
      <c r="I31" s="15">
        <f>SUM('Raw Values'!$C31 * 'Raw Values'!$B31/2 * ('Raw Values'!$D31 ^ (400/500)))</f>
        <v>20.325268020902875</v>
      </c>
      <c r="J31" s="15">
        <f>SUM('Raw Values'!$C31 * 'Raw Values'!$B31/2 * ('Raw Values'!$D31 ^ (500/500)))</f>
        <v>20.16</v>
      </c>
      <c r="K31" s="15">
        <f>SUM('Raw Values'!$C31 * 'Raw Values'!$B31/2 * ('Raw Values'!$D31 ^ (600/500)))</f>
        <v>19.996075799936538</v>
      </c>
      <c r="L31" s="15">
        <f>SUM('Raw Values'!$C31 * 'Raw Values'!$B31/2 * ('Raw Values'!$D31 ^ (700/500)))</f>
        <v>19.833484493889266</v>
      </c>
      <c r="M31" s="15">
        <f>SUM('Raw Values'!$C31 * 'Raw Values'!$B31/2 * ('Raw Values'!$D31 ^ (800/500)))</f>
        <v>19.672215243882722</v>
      </c>
      <c r="N31" s="15">
        <f>SUM('Raw Values'!$C31 * 'Raw Values'!$B31/2 * ('Raw Values'!$D31 ^ (900/500)))</f>
        <v>19.512257300066761</v>
      </c>
      <c r="O31" s="15">
        <f>SUM('Raw Values'!$C31 * 'Raw Values'!$B31/2 * ('Raw Values'!$D31 ^ (1000/500)))</f>
        <v>19.3536</v>
      </c>
      <c r="P31" s="15">
        <f>SUM('Raw Values'!$C31 * 'Raw Values'!$B31/2 * ('Raw Values'!$D31 ^ (1100/500)))</f>
        <v>19.196232767939073</v>
      </c>
      <c r="Q31" s="15">
        <f>SUM('Raw Values'!$C31 * 'Raw Values'!$B31/2 * ('Raw Values'!$D31 ^ (1200/500)))</f>
        <v>19.040145114133693</v>
      </c>
      <c r="R31" s="15">
        <f>SUM('Raw Values'!$C31 * 'Raw Values'!$B31/2 * ('Raw Values'!$D31 ^ (1300/500)))</f>
        <v>18.885326634127409</v>
      </c>
      <c r="S31" s="15">
        <f>SUM('Raw Values'!$C31 * 'Raw Values'!$B31/2 * ('Raw Values'!$D31 ^ (1400/500)))</f>
        <v>18.731767008064089</v>
      </c>
      <c r="T31" s="15">
        <f>SUM('Raw Values'!$C31 * 'Raw Values'!$B31/2 * ('Raw Values'!$D31 ^ (1500/500)))</f>
        <v>18.579456</v>
      </c>
      <c r="U31" s="176"/>
      <c r="V31" s="15">
        <f>SUM('Raw Values'!$C31 * 'Raw Values'!$B31/2 * ('Raw Values'!$D31 ^ (2000/500)))</f>
        <v>17.836277759999998</v>
      </c>
      <c r="W31" s="15">
        <f>SUM('Raw Values'!$C31 * 'Raw Values'!$B31/2 * ('Raw Values'!$D31 ^ (2500/500)))</f>
        <v>17.1228266496</v>
      </c>
      <c r="X31" s="15">
        <f>SUM('Raw Values'!$C31 * 'Raw Values'!$B31/2 * ('Raw Values'!$D31 ^ (3000/500)))</f>
        <v>16.437913583615998</v>
      </c>
      <c r="Y31" s="194"/>
      <c r="Z31" s="219"/>
      <c r="AA31" s="213" t="s">
        <v>236</v>
      </c>
      <c r="AB31" s="15">
        <f>SUM(F31 * 1/'Raw Values'!$F31)</f>
        <v>231.43606249926549</v>
      </c>
      <c r="AC31" s="15">
        <f>SUM(H31 * 1/'Raw Values'!$F31)</f>
        <v>227.68767643382779</v>
      </c>
      <c r="AD31" s="15">
        <f>SUM(K31 * 1/'Raw Values'!$F31)</f>
        <v>222.17861999929488</v>
      </c>
      <c r="AE31" s="15">
        <f>SUM(Q31 * 1/'Raw Values'!$F31)</f>
        <v>211.55716793481884</v>
      </c>
    </row>
    <row r="32" spans="1:31" ht="15.75" customHeight="1" x14ac:dyDescent="0.15">
      <c r="A32" s="36" t="s">
        <v>170</v>
      </c>
      <c r="B32" s="212">
        <f>'Raw Values'!B32</f>
        <v>1.55</v>
      </c>
      <c r="C32" s="18">
        <f>'Raw Values'!C32</f>
        <v>30</v>
      </c>
      <c r="D32" s="15">
        <f>'Raw Values'!D32</f>
        <v>0.98</v>
      </c>
      <c r="E32" s="176"/>
      <c r="F32" s="15">
        <f>SUM('Raw Values'!$C32 * 'Raw Values'!$B32/2 * ('Raw Values'!$D32 ^ (100/500)))</f>
        <v>23.156246945077211</v>
      </c>
      <c r="G32" s="15">
        <f>SUM('Raw Values'!$C32 * 'Raw Values'!$B32/2 * ('Raw Values'!$D32 ^ (200/500)))</f>
        <v>23.062871938984845</v>
      </c>
      <c r="H32" s="15">
        <f>SUM('Raw Values'!$C32 * 'Raw Values'!$B32/2 * ('Raw Values'!$D32 ^ (300/500)))</f>
        <v>22.969873457282784</v>
      </c>
      <c r="I32" s="15">
        <f>SUM('Raw Values'!$C32 * 'Raw Values'!$B32/2 * ('Raw Values'!$D32 ^ (400/500)))</f>
        <v>22.877249981678048</v>
      </c>
      <c r="J32" s="15">
        <f>SUM('Raw Values'!$C32 * 'Raw Values'!$B32/2 * ('Raw Values'!$D32 ^ (500/500)))</f>
        <v>22.785</v>
      </c>
      <c r="K32" s="15">
        <f>SUM('Raw Values'!$C32 * 'Raw Values'!$B32/2 * ('Raw Values'!$D32 ^ (600/500)))</f>
        <v>22.693122006175667</v>
      </c>
      <c r="L32" s="15">
        <f>SUM('Raw Values'!$C32 * 'Raw Values'!$B32/2 * ('Raw Values'!$D32 ^ (700/500)))</f>
        <v>22.601614500205148</v>
      </c>
      <c r="M32" s="15">
        <f>SUM('Raw Values'!$C32 * 'Raw Values'!$B32/2 * ('Raw Values'!$D32 ^ (800/500)))</f>
        <v>22.510475988137131</v>
      </c>
      <c r="N32" s="15">
        <f>SUM('Raw Values'!$C32 * 'Raw Values'!$B32/2 * ('Raw Values'!$D32 ^ (900/500)))</f>
        <v>22.419704982044486</v>
      </c>
      <c r="O32" s="15">
        <f>SUM('Raw Values'!$C32 * 'Raw Values'!$B32/2 * ('Raw Values'!$D32 ^ (1000/500)))</f>
        <v>22.329299999999996</v>
      </c>
      <c r="P32" s="15">
        <f>SUM('Raw Values'!$C32 * 'Raw Values'!$B32/2 * ('Raw Values'!$D32 ^ (1100/500)))</f>
        <v>22.239259566052151</v>
      </c>
      <c r="Q32" s="15">
        <f>SUM('Raw Values'!$C32 * 'Raw Values'!$B32/2 * ('Raw Values'!$D32 ^ (1200/500)))</f>
        <v>22.149582210201046</v>
      </c>
      <c r="R32" s="15">
        <f>SUM('Raw Values'!$C32 * 'Raw Values'!$B32/2 * ('Raw Values'!$D32 ^ (1300/500)))</f>
        <v>22.060266468374387</v>
      </c>
      <c r="S32" s="15">
        <f>SUM('Raw Values'!$C32 * 'Raw Values'!$B32/2 * ('Raw Values'!$D32 ^ (1400/500)))</f>
        <v>21.971310882403596</v>
      </c>
      <c r="T32" s="15">
        <f>SUM('Raw Values'!$C32 * 'Raw Values'!$B32/2 * ('Raw Values'!$D32 ^ (1500/500)))</f>
        <v>21.882713999999996</v>
      </c>
      <c r="U32" s="176"/>
      <c r="V32" s="15">
        <f>SUM('Raw Values'!$C32 * 'Raw Values'!$B32/2 * ('Raw Values'!$D32 ^ (2000/500)))</f>
        <v>21.445059719999996</v>
      </c>
      <c r="W32" s="15">
        <f>SUM('Raw Values'!$C32 * 'Raw Values'!$B32/2 * ('Raw Values'!$D32 ^ (2500/500)))</f>
        <v>21.016158525599995</v>
      </c>
      <c r="X32" s="15">
        <f>SUM('Raw Values'!$C32 * 'Raw Values'!$B32/2 * ('Raw Values'!$D32 ^ (3000/500)))</f>
        <v>20.595835355087996</v>
      </c>
      <c r="Y32" s="194"/>
      <c r="Z32" s="219"/>
      <c r="AA32" s="213" t="s">
        <v>236</v>
      </c>
      <c r="AB32" s="15">
        <f>SUM(F32 * 1/'Raw Values'!$F32)</f>
        <v>257.29163272308011</v>
      </c>
      <c r="AC32" s="15">
        <f>SUM(H32 * 1/'Raw Values'!$F32)</f>
        <v>255.22081619203095</v>
      </c>
      <c r="AD32" s="15">
        <f>SUM(K32 * 1/'Raw Values'!$F32)</f>
        <v>252.14580006861854</v>
      </c>
      <c r="AE32" s="15">
        <f>SUM(Q32 * 1/'Raw Values'!$F32)</f>
        <v>246.10646900223387</v>
      </c>
    </row>
    <row r="33" spans="1:31" ht="15.75" customHeight="1" x14ac:dyDescent="0.15">
      <c r="A33" s="35" t="s">
        <v>171</v>
      </c>
      <c r="B33" s="212">
        <f>'Raw Values'!B33</f>
        <v>1.4</v>
      </c>
      <c r="C33" s="18">
        <f>'Raw Values'!C33</f>
        <v>33</v>
      </c>
      <c r="D33" s="15">
        <f>'Raw Values'!D33</f>
        <v>0.97</v>
      </c>
      <c r="E33" s="176"/>
      <c r="F33" s="15">
        <f>SUM('Raw Values'!$C33 * 'Raw Values'!$B33/2 * ('Raw Values'!$D33 ^ (100/500)))</f>
        <v>22.959706219023481</v>
      </c>
      <c r="G33" s="15">
        <f>SUM('Raw Values'!$C33 * 'Raw Values'!$B33/2 * ('Raw Values'!$D33 ^ (200/500)))</f>
        <v>22.820264487613226</v>
      </c>
      <c r="H33" s="15">
        <f>SUM('Raw Values'!$C33 * 'Raw Values'!$B33/2 * ('Raw Values'!$D33 ^ (300/500)))</f>
        <v>22.681669630996286</v>
      </c>
      <c r="I33" s="15">
        <f>SUM('Raw Values'!$C33 * 'Raw Values'!$B33/2 * ('Raw Values'!$D33 ^ (400/500)))</f>
        <v>22.543916505827767</v>
      </c>
      <c r="J33" s="15">
        <f>SUM('Raw Values'!$C33 * 'Raw Values'!$B33/2 * ('Raw Values'!$D33 ^ (500/500)))</f>
        <v>22.406999999999996</v>
      </c>
      <c r="K33" s="15">
        <f>SUM('Raw Values'!$C33 * 'Raw Values'!$B33/2 * ('Raw Values'!$D33 ^ (600/500)))</f>
        <v>22.270915032452777</v>
      </c>
      <c r="L33" s="15">
        <f>SUM('Raw Values'!$C33 * 'Raw Values'!$B33/2 * ('Raw Values'!$D33 ^ (700/500)))</f>
        <v>22.13565655298483</v>
      </c>
      <c r="M33" s="15">
        <f>SUM('Raw Values'!$C33 * 'Raw Values'!$B33/2 * ('Raw Values'!$D33 ^ (800/500)))</f>
        <v>22.001219542066394</v>
      </c>
      <c r="N33" s="15">
        <f>SUM('Raw Values'!$C33 * 'Raw Values'!$B33/2 * ('Raw Values'!$D33 ^ (900/500)))</f>
        <v>21.867599010652935</v>
      </c>
      <c r="O33" s="15">
        <f>SUM('Raw Values'!$C33 * 'Raw Values'!$B33/2 * ('Raw Values'!$D33 ^ (1000/500)))</f>
        <v>21.734789999999997</v>
      </c>
      <c r="P33" s="15">
        <f>SUM('Raw Values'!$C33 * 'Raw Values'!$B33/2 * ('Raw Values'!$D33 ^ (1100/500)))</f>
        <v>21.602787581479191</v>
      </c>
      <c r="Q33" s="15">
        <f>SUM('Raw Values'!$C33 * 'Raw Values'!$B33/2 * ('Raw Values'!$D33 ^ (1200/500)))</f>
        <v>21.471586856395284</v>
      </c>
      <c r="R33" s="15">
        <f>SUM('Raw Values'!$C33 * 'Raw Values'!$B33/2 * ('Raw Values'!$D33 ^ (1300/500)))</f>
        <v>21.341182955804403</v>
      </c>
      <c r="S33" s="15">
        <f>SUM('Raw Values'!$C33 * 'Raw Values'!$B33/2 * ('Raw Values'!$D33 ^ (1400/500)))</f>
        <v>21.211571040333347</v>
      </c>
      <c r="T33" s="15">
        <f>SUM('Raw Values'!$C33 * 'Raw Values'!$B33/2 * ('Raw Values'!$D33 ^ (1500/500)))</f>
        <v>21.082746299999997</v>
      </c>
      <c r="U33" s="176"/>
      <c r="V33" s="15">
        <f>SUM('Raw Values'!$C33 * 'Raw Values'!$B33/2 * ('Raw Values'!$D33 ^ (2000/500)))</f>
        <v>20.450263910999997</v>
      </c>
      <c r="W33" s="15">
        <f>SUM('Raw Values'!$C33 * 'Raw Values'!$B33/2 * ('Raw Values'!$D33 ^ (2500/500)))</f>
        <v>19.836755993669996</v>
      </c>
      <c r="X33" s="15">
        <f>SUM('Raw Values'!$C33 * 'Raw Values'!$B33/2 * ('Raw Values'!$D33 ^ (3000/500)))</f>
        <v>19.241653313859896</v>
      </c>
      <c r="Y33" s="194"/>
      <c r="Z33" s="219"/>
      <c r="AA33" s="213" t="s">
        <v>236</v>
      </c>
      <c r="AB33" s="15">
        <f>SUM(F33 * 1/'Raw Values'!$F33)</f>
        <v>255.10784687803869</v>
      </c>
      <c r="AC33" s="15">
        <f>SUM(H33 * 1/'Raw Values'!$F33)</f>
        <v>252.01855145551428</v>
      </c>
      <c r="AD33" s="15">
        <f>SUM(K33 * 1/'Raw Values'!$F33)</f>
        <v>247.45461147169752</v>
      </c>
      <c r="AE33" s="15">
        <f>SUM(Q33 * 1/'Raw Values'!$F33)</f>
        <v>238.57318729328094</v>
      </c>
    </row>
    <row r="34" spans="1:31" ht="15.75" customHeight="1" x14ac:dyDescent="0.15">
      <c r="A34" s="35" t="s">
        <v>172</v>
      </c>
      <c r="B34" s="212">
        <f>'Raw Values'!B34</f>
        <v>1.4</v>
      </c>
      <c r="C34" s="18">
        <f>'Raw Values'!C34</f>
        <v>38</v>
      </c>
      <c r="D34" s="15">
        <f>'Raw Values'!D34</f>
        <v>0.99</v>
      </c>
      <c r="E34" s="176"/>
      <c r="F34" s="15">
        <f>SUM('Raw Values'!$C34 * 'Raw Values'!$B34/2 * ('Raw Values'!$D34 ^ (100/500)))</f>
        <v>26.546585914193926</v>
      </c>
      <c r="G34" s="15">
        <f>SUM('Raw Values'!$C34 * 'Raw Values'!$B34/2 * ('Raw Values'!$D34 ^ (200/500)))</f>
        <v>26.493279086454109</v>
      </c>
      <c r="H34" s="15">
        <f>SUM('Raw Values'!$C34 * 'Raw Values'!$B34/2 * ('Raw Values'!$D34 ^ (300/500)))</f>
        <v>26.440079301401173</v>
      </c>
      <c r="I34" s="15">
        <f>SUM('Raw Values'!$C34 * 'Raw Values'!$B34/2 * ('Raw Values'!$D34 ^ (400/500)))</f>
        <v>26.386986344088225</v>
      </c>
      <c r="J34" s="15">
        <f>SUM('Raw Values'!$C34 * 'Raw Values'!$B34/2 * ('Raw Values'!$D34 ^ (500/500)))</f>
        <v>26.333999999999996</v>
      </c>
      <c r="K34" s="15">
        <f>SUM('Raw Values'!$C34 * 'Raw Values'!$B34/2 * ('Raw Values'!$D34 ^ (600/500)))</f>
        <v>26.281120055051982</v>
      </c>
      <c r="L34" s="15">
        <f>SUM('Raw Values'!$C34 * 'Raw Values'!$B34/2 * ('Raw Values'!$D34 ^ (700/500)))</f>
        <v>26.228346295589571</v>
      </c>
      <c r="M34" s="15">
        <f>SUM('Raw Values'!$C34 * 'Raw Values'!$B34/2 * ('Raw Values'!$D34 ^ (800/500)))</f>
        <v>26.175678508387161</v>
      </c>
      <c r="N34" s="15">
        <f>SUM('Raw Values'!$C34 * 'Raw Values'!$B34/2 * ('Raw Values'!$D34 ^ (900/500)))</f>
        <v>26.123116480647344</v>
      </c>
      <c r="O34" s="15">
        <f>SUM('Raw Values'!$C34 * 'Raw Values'!$B34/2 * ('Raw Values'!$D34 ^ (1000/500)))</f>
        <v>26.070659999999997</v>
      </c>
      <c r="P34" s="15">
        <f>SUM('Raw Values'!$C34 * 'Raw Values'!$B34/2 * ('Raw Values'!$D34 ^ (1100/500)))</f>
        <v>26.018308854501466</v>
      </c>
      <c r="Q34" s="15">
        <f>SUM('Raw Values'!$C34 * 'Raw Values'!$B34/2 * ('Raw Values'!$D34 ^ (1200/500)))</f>
        <v>25.966062832633675</v>
      </c>
      <c r="R34" s="15">
        <f>SUM('Raw Values'!$C34 * 'Raw Values'!$B34/2 * ('Raw Values'!$D34 ^ (1300/500)))</f>
        <v>25.913921723303286</v>
      </c>
      <c r="S34" s="15">
        <f>SUM('Raw Values'!$C34 * 'Raw Values'!$B34/2 * ('Raw Values'!$D34 ^ (1400/500)))</f>
        <v>25.861885315840865</v>
      </c>
      <c r="T34" s="15">
        <f>SUM('Raw Values'!$C34 * 'Raw Values'!$B34/2 * ('Raw Values'!$D34 ^ (1500/500)))</f>
        <v>25.809953399999994</v>
      </c>
      <c r="U34" s="176"/>
      <c r="V34" s="15">
        <f>SUM('Raw Values'!$C34 * 'Raw Values'!$B34/2 * ('Raw Values'!$D34 ^ (2000/500)))</f>
        <v>25.551853865999995</v>
      </c>
      <c r="W34" s="15">
        <f>SUM('Raw Values'!$C34 * 'Raw Values'!$B34/2 * ('Raw Values'!$D34 ^ (2500/500)))</f>
        <v>25.296335327339996</v>
      </c>
      <c r="X34" s="15">
        <f>SUM('Raw Values'!$C34 * 'Raw Values'!$B34/2 * ('Raw Values'!$D34 ^ (3000/500)))</f>
        <v>25.043371974066595</v>
      </c>
      <c r="Y34" s="194"/>
      <c r="Z34" s="219"/>
      <c r="AA34" s="213" t="s">
        <v>236</v>
      </c>
      <c r="AB34" s="15">
        <f>SUM(F34 * 1/'Raw Values'!$F34)</f>
        <v>265.46585914193923</v>
      </c>
      <c r="AC34" s="15">
        <f>SUM(H34 * 1/'Raw Values'!$F34)</f>
        <v>264.4007930140117</v>
      </c>
      <c r="AD34" s="15">
        <f>SUM(K34 * 1/'Raw Values'!$F34)</f>
        <v>262.8112005505198</v>
      </c>
      <c r="AE34" s="15">
        <f>SUM(Q34 * 1/'Raw Values'!$F34)</f>
        <v>259.66062832633673</v>
      </c>
    </row>
    <row r="35" spans="1:31" ht="15.75" customHeight="1" x14ac:dyDescent="0.15">
      <c r="A35" s="36" t="s">
        <v>173</v>
      </c>
      <c r="B35" s="212">
        <f>'Raw Values'!B35</f>
        <v>2</v>
      </c>
      <c r="C35" s="18">
        <f>'Raw Values'!C35</f>
        <v>30</v>
      </c>
      <c r="D35" s="15">
        <f>'Raw Values'!D35</f>
        <v>0.98</v>
      </c>
      <c r="E35" s="176"/>
      <c r="F35" s="15">
        <f>SUM('Raw Values'!$C35 * 'Raw Values'!$B35/2 * ('Raw Values'!$D35 ^ (100/500)))</f>
        <v>29.879028316228659</v>
      </c>
      <c r="G35" s="15">
        <f>SUM('Raw Values'!$C35 * 'Raw Values'!$B35/2 * ('Raw Values'!$D35 ^ (200/500)))</f>
        <v>29.758544437399799</v>
      </c>
      <c r="H35" s="15">
        <f>SUM('Raw Values'!$C35 * 'Raw Values'!$B35/2 * ('Raw Values'!$D35 ^ (300/500)))</f>
        <v>29.638546396493915</v>
      </c>
      <c r="I35" s="15">
        <f>SUM('Raw Values'!$C35 * 'Raw Values'!$B35/2 * ('Raw Values'!$D35 ^ (400/500)))</f>
        <v>29.519032234423285</v>
      </c>
      <c r="J35" s="15">
        <f>SUM('Raw Values'!$C35 * 'Raw Values'!$B35/2 * ('Raw Values'!$D35 ^ (500/500)))</f>
        <v>29.4</v>
      </c>
      <c r="K35" s="15">
        <f>SUM('Raw Values'!$C35 * 'Raw Values'!$B35/2 * ('Raw Values'!$D35 ^ (600/500)))</f>
        <v>29.281447749904085</v>
      </c>
      <c r="L35" s="15">
        <f>SUM('Raw Values'!$C35 * 'Raw Values'!$B35/2 * ('Raw Values'!$D35 ^ (700/500)))</f>
        <v>29.163373548651805</v>
      </c>
      <c r="M35" s="15">
        <f>SUM('Raw Values'!$C35 * 'Raw Values'!$B35/2 * ('Raw Values'!$D35 ^ (800/500)))</f>
        <v>29.045775468564038</v>
      </c>
      <c r="N35" s="15">
        <f>SUM('Raw Values'!$C35 * 'Raw Values'!$B35/2 * ('Raw Values'!$D35 ^ (900/500)))</f>
        <v>28.928651589734823</v>
      </c>
      <c r="O35" s="15">
        <f>SUM('Raw Values'!$C35 * 'Raw Values'!$B35/2 * ('Raw Values'!$D35 ^ (1000/500)))</f>
        <v>28.811999999999998</v>
      </c>
      <c r="P35" s="15">
        <f>SUM('Raw Values'!$C35 * 'Raw Values'!$B35/2 * ('Raw Values'!$D35 ^ (1100/500)))</f>
        <v>28.695818794906003</v>
      </c>
      <c r="Q35" s="15">
        <f>SUM('Raw Values'!$C35 * 'Raw Values'!$B35/2 * ('Raw Values'!$D35 ^ (1200/500)))</f>
        <v>28.580106077678767</v>
      </c>
      <c r="R35" s="15">
        <f>SUM('Raw Values'!$C35 * 'Raw Values'!$B35/2 * ('Raw Values'!$D35 ^ (1300/500)))</f>
        <v>28.464859959192758</v>
      </c>
      <c r="S35" s="15">
        <f>SUM('Raw Values'!$C35 * 'Raw Values'!$B35/2 * ('Raw Values'!$D35 ^ (1400/500)))</f>
        <v>28.350078557940126</v>
      </c>
      <c r="T35" s="15">
        <f>SUM('Raw Values'!$C35 * 'Raw Values'!$B35/2 * ('Raw Values'!$D35 ^ (1500/500)))</f>
        <v>28.235759999999999</v>
      </c>
      <c r="U35" s="176"/>
      <c r="V35" s="15">
        <f>SUM('Raw Values'!$C35 * 'Raw Values'!$B35/2 * ('Raw Values'!$D35 ^ (2000/500)))</f>
        <v>27.671044799999997</v>
      </c>
      <c r="W35" s="15">
        <f>SUM('Raw Values'!$C35 * 'Raw Values'!$B35/2 * ('Raw Values'!$D35 ^ (2500/500)))</f>
        <v>27.117623903999995</v>
      </c>
      <c r="X35" s="15">
        <f>SUM('Raw Values'!$C35 * 'Raw Values'!$B35/2 * ('Raw Values'!$D35 ^ (3000/500)))</f>
        <v>26.575271425919993</v>
      </c>
      <c r="Y35" s="194"/>
      <c r="Z35" s="219"/>
      <c r="AA35" s="213">
        <f>SUM(500*(LOG(100/(C35*'Raw Values'!$E35*B35/2)))/LOG('Raw Values'!$D35))</f>
        <v>4512.3050571506383</v>
      </c>
      <c r="AB35" s="15">
        <f>SUM(F35 * 1/'Raw Values'!$F35)</f>
        <v>271.62753014753326</v>
      </c>
      <c r="AC35" s="15">
        <f>SUM(H35 * 1/'Raw Values'!$F35)</f>
        <v>269.44133087721741</v>
      </c>
      <c r="AD35" s="15">
        <f>SUM(K35 * 1/'Raw Values'!$F35)</f>
        <v>266.19497954458257</v>
      </c>
      <c r="AE35" s="15">
        <f>SUM(Q35 * 1/'Raw Values'!$F35)</f>
        <v>259.81914616071606</v>
      </c>
    </row>
    <row r="36" spans="1:31" ht="15.75" customHeight="1" x14ac:dyDescent="0.15">
      <c r="A36" s="39"/>
      <c r="B36" s="98"/>
      <c r="C36" s="214"/>
      <c r="D36" s="41"/>
      <c r="E36" s="17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215"/>
      <c r="V36" s="39"/>
      <c r="W36" s="39"/>
      <c r="X36" s="39"/>
      <c r="Y36" s="179"/>
      <c r="Z36" s="219"/>
      <c r="AA36" s="222"/>
      <c r="AB36" s="41"/>
      <c r="AC36" s="41"/>
      <c r="AD36" s="41"/>
      <c r="AE36" s="41"/>
    </row>
    <row r="37" spans="1:31" ht="15.75" customHeight="1" x14ac:dyDescent="0.15">
      <c r="A37" s="1" t="s">
        <v>79</v>
      </c>
      <c r="B37" s="66" t="s">
        <v>262</v>
      </c>
      <c r="C37" s="210" t="s">
        <v>3</v>
      </c>
      <c r="D37" s="4" t="s">
        <v>93</v>
      </c>
      <c r="E37" s="204"/>
      <c r="F37" s="2" t="s">
        <v>239</v>
      </c>
      <c r="G37" s="2" t="s">
        <v>240</v>
      </c>
      <c r="H37" s="2" t="s">
        <v>241</v>
      </c>
      <c r="I37" s="2" t="s">
        <v>242</v>
      </c>
      <c r="J37" s="2" t="s">
        <v>243</v>
      </c>
      <c r="K37" s="2" t="s">
        <v>244</v>
      </c>
      <c r="L37" s="2" t="s">
        <v>245</v>
      </c>
      <c r="M37" s="2" t="s">
        <v>246</v>
      </c>
      <c r="N37" s="2" t="s">
        <v>247</v>
      </c>
      <c r="O37" s="2" t="s">
        <v>248</v>
      </c>
      <c r="P37" s="2" t="s">
        <v>249</v>
      </c>
      <c r="Q37" s="2" t="s">
        <v>250</v>
      </c>
      <c r="R37" s="2" t="s">
        <v>251</v>
      </c>
      <c r="S37" s="2" t="s">
        <v>252</v>
      </c>
      <c r="T37" s="2" t="s">
        <v>253</v>
      </c>
      <c r="U37" s="217"/>
      <c r="V37" s="205" t="s">
        <v>254</v>
      </c>
      <c r="W37" s="205" t="s">
        <v>255</v>
      </c>
      <c r="X37" s="205" t="s">
        <v>256</v>
      </c>
      <c r="Y37" s="220"/>
      <c r="Z37" s="221"/>
      <c r="AA37" s="209" t="s">
        <v>257</v>
      </c>
      <c r="AB37" s="4" t="s">
        <v>258</v>
      </c>
      <c r="AC37" s="4" t="s">
        <v>259</v>
      </c>
      <c r="AD37" s="4" t="s">
        <v>260</v>
      </c>
      <c r="AE37" s="4" t="s">
        <v>261</v>
      </c>
    </row>
    <row r="38" spans="1:31" ht="15.75" customHeight="1" x14ac:dyDescent="0.15">
      <c r="A38" s="9" t="s">
        <v>174</v>
      </c>
      <c r="B38" s="212">
        <f>'Raw Values'!B38</f>
        <v>1.6</v>
      </c>
      <c r="C38" s="18">
        <f>'Raw Values'!C38</f>
        <v>32</v>
      </c>
      <c r="D38" s="15">
        <f>'Raw Values'!D38</f>
        <v>0.97</v>
      </c>
      <c r="E38" s="176"/>
      <c r="F38" s="15">
        <f>SUM('Raw Values'!$C38 * 'Raw Values'!$B38/2 * ('Raw Values'!$D38 ^ (100/500)))</f>
        <v>25.444522909393992</v>
      </c>
      <c r="G38" s="15">
        <f>SUM('Raw Values'!$C38 * 'Raw Values'!$B38/2 * ('Raw Values'!$D38 ^ (200/500)))</f>
        <v>25.289990081510766</v>
      </c>
      <c r="H38" s="15">
        <f>SUM('Raw Values'!$C38 * 'Raw Values'!$B38/2 * ('Raw Values'!$D38 ^ (300/500)))</f>
        <v>25.136395781537011</v>
      </c>
      <c r="I38" s="15">
        <f>SUM('Raw Values'!$C38 * 'Raw Values'!$B38/2 * ('Raw Values'!$D38 ^ (400/500)))</f>
        <v>24.983734309488785</v>
      </c>
      <c r="J38" s="15">
        <f>SUM('Raw Values'!$C38 * 'Raw Values'!$B38/2 * ('Raw Values'!$D38 ^ (500/500)))</f>
        <v>24.832000000000001</v>
      </c>
      <c r="K38" s="15">
        <f>SUM('Raw Values'!$C38 * 'Raw Values'!$B38/2 * ('Raw Values'!$D38 ^ (600/500)))</f>
        <v>24.681187222112172</v>
      </c>
      <c r="L38" s="15">
        <f>SUM('Raw Values'!$C38 * 'Raw Values'!$B38/2 * ('Raw Values'!$D38 ^ (700/500)))</f>
        <v>24.531290379065442</v>
      </c>
      <c r="M38" s="15">
        <f>SUM('Raw Values'!$C38 * 'Raw Values'!$B38/2 * ('Raw Values'!$D38 ^ (800/500)))</f>
        <v>24.382303908090901</v>
      </c>
      <c r="N38" s="15">
        <f>SUM('Raw Values'!$C38 * 'Raw Values'!$B38/2 * ('Raw Values'!$D38 ^ (900/500)))</f>
        <v>24.234222280204122</v>
      </c>
      <c r="O38" s="15">
        <f>SUM('Raw Values'!$C38 * 'Raw Values'!$B38/2 * ('Raw Values'!$D38 ^ (1000/500)))</f>
        <v>24.087040000000002</v>
      </c>
      <c r="P38" s="15">
        <f>SUM('Raw Values'!$C38 * 'Raw Values'!$B38/2 * ('Raw Values'!$D38 ^ (1100/500)))</f>
        <v>23.940751605448806</v>
      </c>
      <c r="Q38" s="15">
        <f>SUM('Raw Values'!$C38 * 'Raw Values'!$B38/2 * ('Raw Values'!$D38 ^ (1200/500)))</f>
        <v>23.795351667693481</v>
      </c>
      <c r="R38" s="15">
        <f>SUM('Raw Values'!$C38 * 'Raw Values'!$B38/2 * ('Raw Values'!$D38 ^ (1300/500)))</f>
        <v>23.650834790848172</v>
      </c>
      <c r="S38" s="15">
        <f>SUM('Raw Values'!$C38 * 'Raw Values'!$B38/2 * ('Raw Values'!$D38 ^ (1400/500)))</f>
        <v>23.507195611797997</v>
      </c>
      <c r="T38" s="15">
        <f>SUM('Raw Values'!$C38 * 'Raw Values'!$B38/2 * ('Raw Values'!$D38 ^ (1500/500)))</f>
        <v>23.364428799999999</v>
      </c>
      <c r="U38" s="176"/>
      <c r="V38" s="15">
        <f>SUM('Raw Values'!$C38 * 'Raw Values'!$B38/2 * ('Raw Values'!$D38 ^ (2000/500)))</f>
        <v>22.663495936</v>
      </c>
      <c r="W38" s="15">
        <f>SUM('Raw Values'!$C38 * 'Raw Values'!$B38/2 * ('Raw Values'!$D38 ^ (2500/500)))</f>
        <v>21.983591057919998</v>
      </c>
      <c r="X38" s="15">
        <f>SUM('Raw Values'!$C38 * 'Raw Values'!$B38/2 * ('Raw Values'!$D38 ^ (3000/500)))</f>
        <v>21.3240833261824</v>
      </c>
      <c r="Y38" s="194"/>
      <c r="Z38" s="219"/>
      <c r="AA38" s="213">
        <f>SUM(500*(LOG(100/(C38*'Raw Values'!$E38*B38/2)))/LOG('Raw Values'!$D38))</f>
        <v>389.31621299113647</v>
      </c>
      <c r="AB38" s="15">
        <f>SUM(F38 * 1/'Raw Values'!$F38)</f>
        <v>318.05653636742488</v>
      </c>
      <c r="AC38" s="15">
        <f>SUM(H38 * 1/'Raw Values'!$F38)</f>
        <v>314.20494726921265</v>
      </c>
      <c r="AD38" s="15">
        <f>SUM(K38 * 1/'Raw Values'!$F38)</f>
        <v>308.51484027640214</v>
      </c>
      <c r="AE38" s="15">
        <f>SUM(Q38 * 1/'Raw Values'!$F38)</f>
        <v>297.44189584616851</v>
      </c>
    </row>
    <row r="39" spans="1:31" ht="15.75" customHeight="1" x14ac:dyDescent="0.15">
      <c r="A39" s="9" t="s">
        <v>176</v>
      </c>
      <c r="B39" s="212">
        <f>'Raw Values'!B39</f>
        <v>1.42</v>
      </c>
      <c r="C39" s="18">
        <f>'Raw Values'!C39</f>
        <v>35</v>
      </c>
      <c r="D39" s="15">
        <f>'Raw Values'!D39</f>
        <v>0.97</v>
      </c>
      <c r="E39" s="176"/>
      <c r="F39" s="15">
        <f>SUM('Raw Values'!$C39 * 'Raw Values'!$B39/2 * ('Raw Values'!$D39 ^ (100/500)))</f>
        <v>24.699077902282834</v>
      </c>
      <c r="G39" s="15">
        <f>SUM('Raw Values'!$C39 * 'Raw Values'!$B39/2 * ('Raw Values'!$D39 ^ (200/500)))</f>
        <v>24.549072403341501</v>
      </c>
      <c r="H39" s="15">
        <f>SUM('Raw Values'!$C39 * 'Raw Values'!$B39/2 * ('Raw Values'!$D39 ^ (300/500)))</f>
        <v>24.399977936374789</v>
      </c>
      <c r="I39" s="15">
        <f>SUM('Raw Values'!$C39 * 'Raw Values'!$B39/2 * ('Raw Values'!$D39 ^ (400/500)))</f>
        <v>24.251788968390478</v>
      </c>
      <c r="J39" s="15">
        <f>SUM('Raw Values'!$C39 * 'Raw Values'!$B39/2 * ('Raw Values'!$D39 ^ (500/500)))</f>
        <v>24.104499999999998</v>
      </c>
      <c r="K39" s="15">
        <f>SUM('Raw Values'!$C39 * 'Raw Values'!$B39/2 * ('Raw Values'!$D39 ^ (600/500)))</f>
        <v>23.95810556521435</v>
      </c>
      <c r="L39" s="15">
        <f>SUM('Raw Values'!$C39 * 'Raw Values'!$B39/2 * ('Raw Values'!$D39 ^ (700/500)))</f>
        <v>23.812600231241255</v>
      </c>
      <c r="M39" s="15">
        <f>SUM('Raw Values'!$C39 * 'Raw Values'!$B39/2 * ('Raw Values'!$D39 ^ (800/500)))</f>
        <v>23.667978598283547</v>
      </c>
      <c r="N39" s="15">
        <f>SUM('Raw Values'!$C39 * 'Raw Values'!$B39/2 * ('Raw Values'!$D39 ^ (900/500)))</f>
        <v>23.524235299338763</v>
      </c>
      <c r="O39" s="15">
        <f>SUM('Raw Values'!$C39 * 'Raw Values'!$B39/2 * ('Raw Values'!$D39 ^ (1000/500)))</f>
        <v>23.381364999999995</v>
      </c>
      <c r="P39" s="15">
        <f>SUM('Raw Values'!$C39 * 'Raw Values'!$B39/2 * ('Raw Values'!$D39 ^ (1100/500)))</f>
        <v>23.239362398257921</v>
      </c>
      <c r="Q39" s="15">
        <f>SUM('Raw Values'!$C39 * 'Raw Values'!$B39/2 * ('Raw Values'!$D39 ^ (1200/500)))</f>
        <v>23.098222224304021</v>
      </c>
      <c r="R39" s="15">
        <f>SUM('Raw Values'!$C39 * 'Raw Values'!$B39/2 * ('Raw Values'!$D39 ^ (1300/500)))</f>
        <v>22.95793924033504</v>
      </c>
      <c r="S39" s="15">
        <f>SUM('Raw Values'!$C39 * 'Raw Values'!$B39/2 * ('Raw Values'!$D39 ^ (1400/500)))</f>
        <v>22.8185082403586</v>
      </c>
      <c r="T39" s="15">
        <f>SUM('Raw Values'!$C39 * 'Raw Values'!$B39/2 * ('Raw Values'!$D39 ^ (1500/500)))</f>
        <v>22.679924049999997</v>
      </c>
      <c r="U39" s="176"/>
      <c r="V39" s="15">
        <f>SUM('Raw Values'!$C39 * 'Raw Values'!$B39/2 * ('Raw Values'!$D39 ^ (2000/500)))</f>
        <v>21.999526328499996</v>
      </c>
      <c r="W39" s="15">
        <f>SUM('Raw Values'!$C39 * 'Raw Values'!$B39/2 * ('Raw Values'!$D39 ^ (2500/500)))</f>
        <v>21.339540538644997</v>
      </c>
      <c r="X39" s="15">
        <f>SUM('Raw Values'!$C39 * 'Raw Values'!$B39/2 * ('Raw Values'!$D39 ^ (3000/500)))</f>
        <v>20.699354322485647</v>
      </c>
      <c r="Y39" s="194"/>
      <c r="Z39" s="219"/>
      <c r="AA39" s="213" t="s">
        <v>236</v>
      </c>
      <c r="AB39" s="15">
        <f>SUM(F39 * 1/'Raw Values'!$F39)</f>
        <v>329.32103869710448</v>
      </c>
      <c r="AC39" s="15">
        <f>SUM(H39 * 1/'Raw Values'!$F39)</f>
        <v>325.33303915166385</v>
      </c>
      <c r="AD39" s="15">
        <f>SUM(K39 * 1/'Raw Values'!$F39)</f>
        <v>319.44140753619132</v>
      </c>
      <c r="AE39" s="15">
        <f>SUM(Q39 * 1/'Raw Values'!$F39)</f>
        <v>307.97629632405364</v>
      </c>
    </row>
    <row r="40" spans="1:31" ht="15.75" customHeight="1" x14ac:dyDescent="0.15">
      <c r="A40" s="39"/>
      <c r="B40" s="98"/>
      <c r="C40" s="214"/>
      <c r="D40" s="41"/>
      <c r="E40" s="17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215"/>
      <c r="V40" s="39"/>
      <c r="W40" s="39"/>
      <c r="X40" s="39"/>
      <c r="Y40" s="179"/>
      <c r="Z40" s="219"/>
      <c r="AA40" s="222"/>
      <c r="AB40" s="41"/>
      <c r="AC40" s="41"/>
      <c r="AD40" s="41"/>
      <c r="AE40" s="41"/>
    </row>
    <row r="41" spans="1:31" ht="15.75" customHeight="1" x14ac:dyDescent="0.15">
      <c r="A41" s="1" t="s">
        <v>82</v>
      </c>
      <c r="B41" s="66" t="s">
        <v>262</v>
      </c>
      <c r="C41" s="210" t="s">
        <v>3</v>
      </c>
      <c r="D41" s="4" t="s">
        <v>93</v>
      </c>
      <c r="E41" s="204"/>
      <c r="F41" s="2" t="s">
        <v>239</v>
      </c>
      <c r="G41" s="2" t="s">
        <v>240</v>
      </c>
      <c r="H41" s="2" t="s">
        <v>241</v>
      </c>
      <c r="I41" s="2" t="s">
        <v>242</v>
      </c>
      <c r="J41" s="2" t="s">
        <v>243</v>
      </c>
      <c r="K41" s="2" t="s">
        <v>244</v>
      </c>
      <c r="L41" s="2" t="s">
        <v>245</v>
      </c>
      <c r="M41" s="2" t="s">
        <v>246</v>
      </c>
      <c r="N41" s="2" t="s">
        <v>247</v>
      </c>
      <c r="O41" s="2" t="s">
        <v>248</v>
      </c>
      <c r="P41" s="2" t="s">
        <v>249</v>
      </c>
      <c r="Q41" s="2" t="s">
        <v>250</v>
      </c>
      <c r="R41" s="2" t="s">
        <v>251</v>
      </c>
      <c r="S41" s="2" t="s">
        <v>252</v>
      </c>
      <c r="T41" s="2" t="s">
        <v>253</v>
      </c>
      <c r="U41" s="217"/>
      <c r="V41" s="205" t="s">
        <v>254</v>
      </c>
      <c r="W41" s="205" t="s">
        <v>255</v>
      </c>
      <c r="X41" s="205" t="s">
        <v>256</v>
      </c>
      <c r="Y41" s="220"/>
      <c r="Z41" s="221"/>
      <c r="AA41" s="209" t="s">
        <v>257</v>
      </c>
      <c r="AB41" s="4" t="s">
        <v>258</v>
      </c>
      <c r="AC41" s="4" t="s">
        <v>259</v>
      </c>
      <c r="AD41" s="4" t="s">
        <v>260</v>
      </c>
      <c r="AE41" s="4" t="s">
        <v>261</v>
      </c>
    </row>
    <row r="42" spans="1:31" ht="15.75" customHeight="1" x14ac:dyDescent="0.15">
      <c r="A42" s="9" t="s">
        <v>177</v>
      </c>
      <c r="B42" s="212">
        <f>'Raw Values'!B42</f>
        <v>1.95</v>
      </c>
      <c r="C42" s="18">
        <f>'Raw Values'!C42</f>
        <v>115</v>
      </c>
      <c r="D42" s="15">
        <f>'Raw Values'!D42</f>
        <v>0.99</v>
      </c>
      <c r="E42" s="176"/>
      <c r="F42" s="15">
        <f>SUM('Raw Values'!$C42 * 'Raw Values'!$B42/2 * ('Raw Values'!$D42 ^ (100/500)))</f>
        <v>111.89984758003737</v>
      </c>
      <c r="G42" s="15">
        <f>SUM('Raw Values'!$C42 * 'Raw Values'!$B42/2 * ('Raw Values'!$D42 ^ (200/500)))</f>
        <v>111.67514727701757</v>
      </c>
      <c r="H42" s="15">
        <f>SUM('Raw Values'!$C42 * 'Raw Values'!$B42/2 * ('Raw Values'!$D42 ^ (300/500)))</f>
        <v>111.45089818306792</v>
      </c>
      <c r="I42" s="15">
        <f>SUM('Raw Values'!$C42 * 'Raw Values'!$B42/2 * ('Raw Values'!$D42 ^ (400/500)))</f>
        <v>111.22709939213881</v>
      </c>
      <c r="J42" s="15">
        <f>SUM('Raw Values'!$C42 * 'Raw Values'!$B42/2 * ('Raw Values'!$D42 ^ (500/500)))</f>
        <v>111.00375</v>
      </c>
      <c r="K42" s="15">
        <f>SUM('Raw Values'!$C42 * 'Raw Values'!$B42/2 * ('Raw Values'!$D42 ^ (600/500)))</f>
        <v>110.78084910423699</v>
      </c>
      <c r="L42" s="15">
        <f>SUM('Raw Values'!$C42 * 'Raw Values'!$B42/2 * ('Raw Values'!$D42 ^ (700/500)))</f>
        <v>110.5583958042474</v>
      </c>
      <c r="M42" s="15">
        <f>SUM('Raw Values'!$C42 * 'Raw Values'!$B42/2 * ('Raw Values'!$D42 ^ (800/500)))</f>
        <v>110.33638920123724</v>
      </c>
      <c r="N42" s="15">
        <f>SUM('Raw Values'!$C42 * 'Raw Values'!$B42/2 * ('Raw Values'!$D42 ^ (900/500)))</f>
        <v>110.11482839821743</v>
      </c>
      <c r="O42" s="15">
        <f>SUM('Raw Values'!$C42 * 'Raw Values'!$B42/2 * ('Raw Values'!$D42 ^ (1000/500)))</f>
        <v>109.89371249999999</v>
      </c>
      <c r="P42" s="15">
        <f>SUM('Raw Values'!$C42 * 'Raw Values'!$B42/2 * ('Raw Values'!$D42 ^ (1100/500)))</f>
        <v>109.67304061319463</v>
      </c>
      <c r="Q42" s="15">
        <f>SUM('Raw Values'!$C42 * 'Raw Values'!$B42/2 * ('Raw Values'!$D42 ^ (1200/500)))</f>
        <v>109.45281184620492</v>
      </c>
      <c r="R42" s="15">
        <f>SUM('Raw Values'!$C42 * 'Raw Values'!$B42/2 * ('Raw Values'!$D42 ^ (1300/500)))</f>
        <v>109.23302530922486</v>
      </c>
      <c r="S42" s="15">
        <f>SUM('Raw Values'!$C42 * 'Raw Values'!$B42/2 * ('Raw Values'!$D42 ^ (1400/500)))</f>
        <v>109.01368011423524</v>
      </c>
      <c r="T42" s="15">
        <f>SUM('Raw Values'!$C42 * 'Raw Values'!$B42/2 * ('Raw Values'!$D42 ^ (1500/500)))</f>
        <v>108.79477537499999</v>
      </c>
      <c r="U42" s="176"/>
      <c r="V42" s="15">
        <f>SUM('Raw Values'!$C42 * 'Raw Values'!$B42/2 * ('Raw Values'!$D42 ^ (2000/500)))</f>
        <v>107.70682762125</v>
      </c>
      <c r="W42" s="15">
        <f>SUM('Raw Values'!$C42 * 'Raw Values'!$B42/2 * ('Raw Values'!$D42 ^ (2500/500)))</f>
        <v>106.62975934503748</v>
      </c>
      <c r="X42" s="15">
        <f>SUM('Raw Values'!$C42 * 'Raw Values'!$B42/2 * ('Raw Values'!$D42 ^ (3000/500)))</f>
        <v>105.56346175158711</v>
      </c>
      <c r="Y42" s="194"/>
      <c r="Z42" s="219"/>
      <c r="AA42" s="213">
        <f>SUM(500*(LOG(100/(C42*'Raw Values'!$E42*B42/2)))/LOG('Raw Values'!$D42))</f>
        <v>74661.111697472035</v>
      </c>
      <c r="AB42" s="15">
        <f>SUM(F42 * 1/'Raw Values'!$F42)</f>
        <v>76.907111738857296</v>
      </c>
      <c r="AC42" s="15">
        <f>SUM(H42 * 1/'Raw Values'!$F42)</f>
        <v>76.598555452280351</v>
      </c>
      <c r="AD42" s="15">
        <f>SUM(K42 * 1/'Raw Values'!$F42)</f>
        <v>76.138040621468718</v>
      </c>
      <c r="AE42" s="15">
        <f>SUM(Q42 * 1/'Raw Values'!$F42)</f>
        <v>75.225300237941525</v>
      </c>
    </row>
    <row r="43" spans="1:31" ht="15.75" customHeight="1" x14ac:dyDescent="0.15">
      <c r="A43" s="36" t="s">
        <v>179</v>
      </c>
      <c r="B43" s="212">
        <f>'Raw Values'!B43</f>
        <v>1.65</v>
      </c>
      <c r="C43" s="18">
        <f>'Raw Values'!C43</f>
        <v>80</v>
      </c>
      <c r="D43" s="15">
        <f>'Raw Values'!D43</f>
        <v>0.98</v>
      </c>
      <c r="E43" s="176"/>
      <c r="F43" s="15">
        <f>SUM('Raw Values'!$C43 * 'Raw Values'!$B43/2 * ('Raw Values'!$D43 ^ (100/500)))</f>
        <v>65.733862295703048</v>
      </c>
      <c r="G43" s="15">
        <f>SUM('Raw Values'!$C43 * 'Raw Values'!$B43/2 * ('Raw Values'!$D43 ^ (200/500)))</f>
        <v>65.468797762279564</v>
      </c>
      <c r="H43" s="15">
        <f>SUM('Raw Values'!$C43 * 'Raw Values'!$B43/2 * ('Raw Values'!$D43 ^ (300/500)))</f>
        <v>65.204802072286611</v>
      </c>
      <c r="I43" s="15">
        <f>SUM('Raw Values'!$C43 * 'Raw Values'!$B43/2 * ('Raw Values'!$D43 ^ (400/500)))</f>
        <v>64.941870915731229</v>
      </c>
      <c r="J43" s="15">
        <f>SUM('Raw Values'!$C43 * 'Raw Values'!$B43/2 * ('Raw Values'!$D43 ^ (500/500)))</f>
        <v>64.679999999999993</v>
      </c>
      <c r="K43" s="15">
        <f>SUM('Raw Values'!$C43 * 'Raw Values'!$B43/2 * ('Raw Values'!$D43 ^ (600/500)))</f>
        <v>64.419185049788993</v>
      </c>
      <c r="L43" s="15">
        <f>SUM('Raw Values'!$C43 * 'Raw Values'!$B43/2 * ('Raw Values'!$D43 ^ (700/500)))</f>
        <v>64.159421807033965</v>
      </c>
      <c r="M43" s="15">
        <f>SUM('Raw Values'!$C43 * 'Raw Values'!$B43/2 * ('Raw Values'!$D43 ^ (800/500)))</f>
        <v>63.900706030840887</v>
      </c>
      <c r="N43" s="15">
        <f>SUM('Raw Values'!$C43 * 'Raw Values'!$B43/2 * ('Raw Values'!$D43 ^ (900/500)))</f>
        <v>63.64303349741661</v>
      </c>
      <c r="O43" s="15">
        <f>SUM('Raw Values'!$C43 * 'Raw Values'!$B43/2 * ('Raw Values'!$D43 ^ (1000/500)))</f>
        <v>63.386399999999995</v>
      </c>
      <c r="P43" s="15">
        <f>SUM('Raw Values'!$C43 * 'Raw Values'!$B43/2 * ('Raw Values'!$D43 ^ (1100/500)))</f>
        <v>63.130801348793206</v>
      </c>
      <c r="Q43" s="15">
        <f>SUM('Raw Values'!$C43 * 'Raw Values'!$B43/2 * ('Raw Values'!$D43 ^ (1200/500)))</f>
        <v>62.876233370893289</v>
      </c>
      <c r="R43" s="15">
        <f>SUM('Raw Values'!$C43 * 'Raw Values'!$B43/2 * ('Raw Values'!$D43 ^ (1300/500)))</f>
        <v>62.62269191022407</v>
      </c>
      <c r="S43" s="15">
        <f>SUM('Raw Values'!$C43 * 'Raw Values'!$B43/2 * ('Raw Values'!$D43 ^ (1400/500)))</f>
        <v>62.370172827468274</v>
      </c>
      <c r="T43" s="15">
        <f>SUM('Raw Values'!$C43 * 'Raw Values'!$B43/2 * ('Raw Values'!$D43 ^ (1500/500)))</f>
        <v>62.118671999999997</v>
      </c>
      <c r="U43" s="176"/>
      <c r="V43" s="15">
        <f>SUM('Raw Values'!$C43 * 'Raw Values'!$B43/2 * ('Raw Values'!$D43 ^ (2000/500)))</f>
        <v>60.876298559999995</v>
      </c>
      <c r="W43" s="15">
        <f>SUM('Raw Values'!$C43 * 'Raw Values'!$B43/2 * ('Raw Values'!$D43 ^ (2500/500)))</f>
        <v>59.658772588799991</v>
      </c>
      <c r="X43" s="15">
        <f>SUM('Raw Values'!$C43 * 'Raw Values'!$B43/2 * ('Raw Values'!$D43 ^ (3000/500)))</f>
        <v>58.465597137023984</v>
      </c>
      <c r="Y43" s="194"/>
      <c r="Z43" s="219"/>
      <c r="AA43" s="213">
        <f>SUM(500*(LOG(100/(C43*'Raw Values'!$E43*B43/2)))/LOG('Raw Values'!$D43))</f>
        <v>24025.961023460972</v>
      </c>
      <c r="AB43" s="15">
        <f>SUM(F43 * 1/'Raw Values'!$F43)</f>
        <v>262.93544918281219</v>
      </c>
      <c r="AC43" s="15">
        <f>SUM(H43 * 1/'Raw Values'!$F43)</f>
        <v>260.81920828914645</v>
      </c>
      <c r="AD43" s="15">
        <f>SUM(K43 * 1/'Raw Values'!$F43)</f>
        <v>257.67674019915597</v>
      </c>
      <c r="AE43" s="15">
        <f>SUM(Q43 * 1/'Raw Values'!$F43)</f>
        <v>251.50493348357315</v>
      </c>
    </row>
    <row r="44" spans="1:31" ht="15.75" customHeight="1" x14ac:dyDescent="0.15">
      <c r="A44" s="35" t="s">
        <v>180</v>
      </c>
      <c r="B44" s="212">
        <f>'Raw Values'!B44</f>
        <v>1.65</v>
      </c>
      <c r="C44" s="18">
        <f>'Raw Values'!C44</f>
        <v>80</v>
      </c>
      <c r="D44" s="15">
        <f>'Raw Values'!D44</f>
        <v>0.98</v>
      </c>
      <c r="E44" s="176"/>
      <c r="F44" s="15">
        <f>SUM('Raw Values'!$C44 * 'Raw Values'!$B44/2 * ('Raw Values'!$D44 ^ (100/500)))</f>
        <v>65.733862295703048</v>
      </c>
      <c r="G44" s="15">
        <f>SUM('Raw Values'!$C44 * 'Raw Values'!$B44/2 * ('Raw Values'!$D44 ^ (200/500)))</f>
        <v>65.468797762279564</v>
      </c>
      <c r="H44" s="15">
        <f>SUM('Raw Values'!$C44 * 'Raw Values'!$B44/2 * ('Raw Values'!$D44 ^ (300/500)))</f>
        <v>65.204802072286611</v>
      </c>
      <c r="I44" s="15">
        <f>SUM('Raw Values'!$C44 * 'Raw Values'!$B44/2 * ('Raw Values'!$D44 ^ (400/500)))</f>
        <v>64.941870915731229</v>
      </c>
      <c r="J44" s="15">
        <f>SUM('Raw Values'!$C44 * 'Raw Values'!$B44/2 * ('Raw Values'!$D44 ^ (500/500)))</f>
        <v>64.679999999999993</v>
      </c>
      <c r="K44" s="15">
        <f>SUM('Raw Values'!$C44 * 'Raw Values'!$B44/2 * ('Raw Values'!$D44 ^ (600/500)))</f>
        <v>64.419185049788993</v>
      </c>
      <c r="L44" s="15">
        <f>SUM('Raw Values'!$C44 * 'Raw Values'!$B44/2 * ('Raw Values'!$D44 ^ (700/500)))</f>
        <v>64.159421807033965</v>
      </c>
      <c r="M44" s="15">
        <f>SUM('Raw Values'!$C44 * 'Raw Values'!$B44/2 * ('Raw Values'!$D44 ^ (800/500)))</f>
        <v>63.900706030840887</v>
      </c>
      <c r="N44" s="15">
        <f>SUM('Raw Values'!$C44 * 'Raw Values'!$B44/2 * ('Raw Values'!$D44 ^ (900/500)))</f>
        <v>63.64303349741661</v>
      </c>
      <c r="O44" s="15">
        <f>SUM('Raw Values'!$C44 * 'Raw Values'!$B44/2 * ('Raw Values'!$D44 ^ (1000/500)))</f>
        <v>63.386399999999995</v>
      </c>
      <c r="P44" s="15">
        <f>SUM('Raw Values'!$C44 * 'Raw Values'!$B44/2 * ('Raw Values'!$D44 ^ (1100/500)))</f>
        <v>63.130801348793206</v>
      </c>
      <c r="Q44" s="15">
        <f>SUM('Raw Values'!$C44 * 'Raw Values'!$B44/2 * ('Raw Values'!$D44 ^ (1200/500)))</f>
        <v>62.876233370893289</v>
      </c>
      <c r="R44" s="15">
        <f>SUM('Raw Values'!$C44 * 'Raw Values'!$B44/2 * ('Raw Values'!$D44 ^ (1300/500)))</f>
        <v>62.62269191022407</v>
      </c>
      <c r="S44" s="15">
        <f>SUM('Raw Values'!$C44 * 'Raw Values'!$B44/2 * ('Raw Values'!$D44 ^ (1400/500)))</f>
        <v>62.370172827468274</v>
      </c>
      <c r="T44" s="15">
        <f>SUM('Raw Values'!$C44 * 'Raw Values'!$B44/2 * ('Raw Values'!$D44 ^ (1500/500)))</f>
        <v>62.118671999999997</v>
      </c>
      <c r="U44" s="176"/>
      <c r="V44" s="15">
        <f>SUM('Raw Values'!$C44 * 'Raw Values'!$B44/2 * ('Raw Values'!$D44 ^ (2000/500)))</f>
        <v>60.876298559999995</v>
      </c>
      <c r="W44" s="15">
        <f>SUM('Raw Values'!$C44 * 'Raw Values'!$B44/2 * ('Raw Values'!$D44 ^ (2500/500)))</f>
        <v>59.658772588799991</v>
      </c>
      <c r="X44" s="15">
        <f>SUM('Raw Values'!$C44 * 'Raw Values'!$B44/2 * ('Raw Values'!$D44 ^ (3000/500)))</f>
        <v>58.465597137023984</v>
      </c>
      <c r="Y44" s="194"/>
      <c r="Z44" s="219"/>
      <c r="AA44" s="213">
        <f>SUM(500*(LOG(100/(C44*'Raw Values'!$E44*B44/2)))/LOG('Raw Values'!$D44))</f>
        <v>24025.961023460972</v>
      </c>
      <c r="AB44" s="15">
        <f>SUM(F44 * 1/'Raw Values'!$F44)</f>
        <v>262.93544918281219</v>
      </c>
      <c r="AC44" s="15">
        <f>SUM(H44 * 1/'Raw Values'!$F44)</f>
        <v>260.81920828914645</v>
      </c>
      <c r="AD44" s="15">
        <f>SUM(K44 * 1/'Raw Values'!$F44)</f>
        <v>257.67674019915597</v>
      </c>
      <c r="AE44" s="15">
        <f>SUM(Q44 * 1/'Raw Values'!$F44)</f>
        <v>251.50493348357315</v>
      </c>
    </row>
    <row r="45" spans="1:31" ht="15.75" customHeight="1" x14ac:dyDescent="0.15">
      <c r="A45" s="9" t="s">
        <v>181</v>
      </c>
      <c r="B45" s="212">
        <f>'Raw Values'!B45</f>
        <v>1.7</v>
      </c>
      <c r="C45" s="18">
        <f>'Raw Values'!C45</f>
        <v>88</v>
      </c>
      <c r="D45" s="15">
        <f>'Raw Values'!D45</f>
        <v>0.98</v>
      </c>
      <c r="E45" s="176"/>
      <c r="F45" s="15">
        <f>SUM('Raw Values'!$C45 * 'Raw Values'!$B45/2 * ('Raw Values'!$D45 ^ (100/500)))</f>
        <v>74.498377268463457</v>
      </c>
      <c r="G45" s="15">
        <f>SUM('Raw Values'!$C45 * 'Raw Values'!$B45/2 * ('Raw Values'!$D45 ^ (200/500)))</f>
        <v>74.197970797250164</v>
      </c>
      <c r="H45" s="15">
        <f>SUM('Raw Values'!$C45 * 'Raw Values'!$B45/2 * ('Raw Values'!$D45 ^ (300/500)))</f>
        <v>73.898775681924832</v>
      </c>
      <c r="I45" s="15">
        <f>SUM('Raw Values'!$C45 * 'Raw Values'!$B45/2 * ('Raw Values'!$D45 ^ (400/500)))</f>
        <v>73.600787037828724</v>
      </c>
      <c r="J45" s="15">
        <f>SUM('Raw Values'!$C45 * 'Raw Values'!$B45/2 * ('Raw Values'!$D45 ^ (500/500)))</f>
        <v>73.304000000000002</v>
      </c>
      <c r="K45" s="15">
        <f>SUM('Raw Values'!$C45 * 'Raw Values'!$B45/2 * ('Raw Values'!$D45 ^ (600/500)))</f>
        <v>73.008409723094189</v>
      </c>
      <c r="L45" s="15">
        <f>SUM('Raw Values'!$C45 * 'Raw Values'!$B45/2 * ('Raw Values'!$D45 ^ (700/500)))</f>
        <v>72.714011381305156</v>
      </c>
      <c r="M45" s="15">
        <f>SUM('Raw Values'!$C45 * 'Raw Values'!$B45/2 * ('Raw Values'!$D45 ^ (800/500)))</f>
        <v>72.420800168286334</v>
      </c>
      <c r="N45" s="15">
        <f>SUM('Raw Values'!$C45 * 'Raw Values'!$B45/2 * ('Raw Values'!$D45 ^ (900/500)))</f>
        <v>72.128771297072149</v>
      </c>
      <c r="O45" s="15">
        <f>SUM('Raw Values'!$C45 * 'Raw Values'!$B45/2 * ('Raw Values'!$D45 ^ (1000/500)))</f>
        <v>71.837919999999997</v>
      </c>
      <c r="P45" s="15">
        <f>SUM('Raw Values'!$C45 * 'Raw Values'!$B45/2 * ('Raw Values'!$D45 ^ (1100/500)))</f>
        <v>71.548241528632303</v>
      </c>
      <c r="Q45" s="15">
        <f>SUM('Raw Values'!$C45 * 'Raw Values'!$B45/2 * ('Raw Values'!$D45 ^ (1200/500)))</f>
        <v>71.259731153679056</v>
      </c>
      <c r="R45" s="15">
        <f>SUM('Raw Values'!$C45 * 'Raw Values'!$B45/2 * ('Raw Values'!$D45 ^ (1300/500)))</f>
        <v>70.972384164920612</v>
      </c>
      <c r="S45" s="15">
        <f>SUM('Raw Values'!$C45 * 'Raw Values'!$B45/2 * ('Raw Values'!$D45 ^ (1400/500)))</f>
        <v>70.686195871130707</v>
      </c>
      <c r="T45" s="15">
        <f>SUM('Raw Values'!$C45 * 'Raw Values'!$B45/2 * ('Raw Values'!$D45 ^ (1500/500)))</f>
        <v>70.401161599999995</v>
      </c>
      <c r="U45" s="176"/>
      <c r="V45" s="15">
        <f>SUM('Raw Values'!$C45 * 'Raw Values'!$B45/2 * ('Raw Values'!$D45 ^ (2000/500)))</f>
        <v>68.99313836799999</v>
      </c>
      <c r="W45" s="15">
        <f>SUM('Raw Values'!$C45 * 'Raw Values'!$B45/2 * ('Raw Values'!$D45 ^ (2500/500)))</f>
        <v>67.61327560063998</v>
      </c>
      <c r="X45" s="15">
        <f>SUM('Raw Values'!$C45 * 'Raw Values'!$B45/2 * ('Raw Values'!$D45 ^ (3000/500)))</f>
        <v>66.261010088627188</v>
      </c>
      <c r="Y45" s="194"/>
      <c r="Z45" s="219"/>
      <c r="AA45" s="213">
        <f>SUM(500*(LOG(100/(C45*'Raw Values'!$E45*B45/2)))/LOG('Raw Values'!$D45))</f>
        <v>27123.643452524986</v>
      </c>
      <c r="AB45" s="15">
        <f>SUM(F45 * 1/'Raw Values'!$F45)</f>
        <v>59.598701814770763</v>
      </c>
      <c r="AC45" s="15">
        <f>SUM(H45 * 1/'Raw Values'!$F45)</f>
        <v>59.119020545539868</v>
      </c>
      <c r="AD45" s="15">
        <f>SUM(K45 * 1/'Raw Values'!$F45)</f>
        <v>58.40672777847535</v>
      </c>
      <c r="AE45" s="15">
        <f>SUM(Q45 * 1/'Raw Values'!$F45)</f>
        <v>57.007784922943245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" width="11.6640625" customWidth="1"/>
    <col min="6" max="6" width="4.5" customWidth="1"/>
    <col min="7" max="21" width="11.6640625" customWidth="1"/>
    <col min="22" max="22" width="4.5" customWidth="1"/>
    <col min="23" max="25" width="11.6640625" customWidth="1"/>
    <col min="26" max="26" width="4.5" customWidth="1"/>
    <col min="27" max="30" width="11.6640625" customWidth="1"/>
  </cols>
  <sheetData>
    <row r="1" spans="1:30" ht="15.75" customHeight="1" x14ac:dyDescent="0.15">
      <c r="A1" s="1" t="s">
        <v>0</v>
      </c>
      <c r="B1" s="66" t="s">
        <v>262</v>
      </c>
      <c r="C1" s="210" t="s">
        <v>3</v>
      </c>
      <c r="D1" s="4" t="s">
        <v>93</v>
      </c>
      <c r="E1" s="69" t="s">
        <v>95</v>
      </c>
      <c r="F1" s="204"/>
      <c r="G1" s="223" t="s">
        <v>264</v>
      </c>
      <c r="H1" s="223" t="s">
        <v>265</v>
      </c>
      <c r="I1" s="223" t="s">
        <v>266</v>
      </c>
      <c r="J1" s="223" t="s">
        <v>267</v>
      </c>
      <c r="K1" s="223" t="s">
        <v>268</v>
      </c>
      <c r="L1" s="223" t="s">
        <v>269</v>
      </c>
      <c r="M1" s="223" t="s">
        <v>270</v>
      </c>
      <c r="N1" s="223" t="s">
        <v>271</v>
      </c>
      <c r="O1" s="223" t="s">
        <v>272</v>
      </c>
      <c r="P1" s="223" t="s">
        <v>273</v>
      </c>
      <c r="Q1" s="223" t="s">
        <v>274</v>
      </c>
      <c r="R1" s="223" t="s">
        <v>275</v>
      </c>
      <c r="S1" s="223" t="s">
        <v>276</v>
      </c>
      <c r="T1" s="223" t="s">
        <v>277</v>
      </c>
      <c r="U1" s="223" t="s">
        <v>278</v>
      </c>
      <c r="V1" s="224"/>
      <c r="W1" s="225" t="s">
        <v>279</v>
      </c>
      <c r="X1" s="225" t="s">
        <v>280</v>
      </c>
      <c r="Y1" s="225" t="s">
        <v>281</v>
      </c>
      <c r="Z1" s="174"/>
      <c r="AA1" s="4" t="s">
        <v>282</v>
      </c>
      <c r="AB1" s="4" t="s">
        <v>283</v>
      </c>
      <c r="AC1" s="4" t="s">
        <v>284</v>
      </c>
      <c r="AD1" s="4" t="s">
        <v>285</v>
      </c>
    </row>
    <row r="2" spans="1:30" ht="15.75" customHeight="1" x14ac:dyDescent="0.15">
      <c r="A2" s="9" t="s">
        <v>142</v>
      </c>
      <c r="B2" s="212">
        <f>'Raw Values'!B2</f>
        <v>1.8640000000000001</v>
      </c>
      <c r="C2" s="18">
        <f>'Raw Values'!C2</f>
        <v>53</v>
      </c>
      <c r="D2" s="15">
        <f>'Raw Values'!D2</f>
        <v>0.85</v>
      </c>
      <c r="E2" s="15">
        <f>'Raw Values'!F2</f>
        <v>0.22500000000000001</v>
      </c>
      <c r="F2" s="176"/>
      <c r="G2" s="226">
        <f>CEILING(100/('Damage @Range(Armor)'!F2),1)</f>
        <v>3</v>
      </c>
      <c r="H2" s="226">
        <f>CEILING(100/('Damage @Range(Armor)'!G2),1)</f>
        <v>3</v>
      </c>
      <c r="I2" s="226">
        <f>CEILING(100/('Damage @Range(Armor)'!H2),1)</f>
        <v>3</v>
      </c>
      <c r="J2" s="226">
        <f>CEILING(100/('Damage @Range(Armor)'!I2),1)</f>
        <v>3</v>
      </c>
      <c r="K2" s="226">
        <f>CEILING(100/('Damage @Range(Armor)'!J2),1)</f>
        <v>3</v>
      </c>
      <c r="L2" s="226">
        <f>CEILING(100/('Damage @Range(Armor)'!K2),1)</f>
        <v>3</v>
      </c>
      <c r="M2" s="226">
        <f>CEILING(100/('Damage @Range(Armor)'!L2),1)</f>
        <v>3</v>
      </c>
      <c r="N2" s="226">
        <f>CEILING(100/('Damage @Range(Armor)'!M2),1)</f>
        <v>3</v>
      </c>
      <c r="O2" s="226">
        <f>CEILING(100/('Damage @Range(Armor)'!N2),1)</f>
        <v>3</v>
      </c>
      <c r="P2" s="226">
        <f>CEILING(100/('Damage @Range(Armor)'!O2),1)</f>
        <v>3</v>
      </c>
      <c r="Q2" s="226">
        <f>CEILING(100/('Damage @Range(Armor)'!P2),1)</f>
        <v>3</v>
      </c>
      <c r="R2" s="226">
        <f>CEILING(100/('Damage @Range(Armor)'!Q2),1)</f>
        <v>3</v>
      </c>
      <c r="S2" s="226">
        <f>CEILING(100/('Damage @Range(Armor)'!R2),1)</f>
        <v>4</v>
      </c>
      <c r="T2" s="226">
        <f>CEILING(100/('Damage @Range(Armor)'!S2),1)</f>
        <v>4</v>
      </c>
      <c r="U2" s="226">
        <f>CEILING(100/('Damage @Range(Armor)'!T2),1)</f>
        <v>4</v>
      </c>
      <c r="V2" s="227"/>
      <c r="W2" s="226">
        <f>CEILING(100/('Damage @Range(Armor)'!V2),1)</f>
        <v>4</v>
      </c>
      <c r="X2" s="226">
        <f>CEILING(100/('Damage @Range(Armor)'!W2),1)</f>
        <v>5</v>
      </c>
      <c r="Y2" s="226">
        <f>CEILING(100/('Damage @Range(Armor)'!X2),1)</f>
        <v>6</v>
      </c>
      <c r="Z2" s="176"/>
      <c r="AA2" s="15">
        <f>SUM((G2-1)*'Raw Values'!F2)</f>
        <v>0.45</v>
      </c>
      <c r="AB2" s="15">
        <f>SUM((I2-1)*'Raw Values'!F2)</f>
        <v>0.45</v>
      </c>
      <c r="AC2" s="15">
        <f>SUM((L2-1)*'Raw Values'!F2)</f>
        <v>0.45</v>
      </c>
      <c r="AD2" s="15">
        <f>SUM((R2-1)*'Raw Values'!F2)</f>
        <v>0.45</v>
      </c>
    </row>
    <row r="3" spans="1:30" ht="15.75" customHeight="1" x14ac:dyDescent="0.15">
      <c r="A3" s="9" t="s">
        <v>144</v>
      </c>
      <c r="B3" s="212">
        <f>'Raw Values'!B3</f>
        <v>1.8640000000000001</v>
      </c>
      <c r="C3" s="18">
        <f>'Raw Values'!C3</f>
        <v>86</v>
      </c>
      <c r="D3" s="15">
        <f>'Raw Values'!D3</f>
        <v>0.94</v>
      </c>
      <c r="E3" s="15">
        <f>'Raw Values'!F3</f>
        <v>0.5</v>
      </c>
      <c r="F3" s="176"/>
      <c r="G3" s="226">
        <f>CEILING(100/('Damage @Range(Armor)'!F3),1)</f>
        <v>2</v>
      </c>
      <c r="H3" s="226">
        <f>CEILING(100/('Damage @Range(Armor)'!G3),1)</f>
        <v>2</v>
      </c>
      <c r="I3" s="226">
        <f>CEILING(100/('Damage @Range(Armor)'!H3),1)</f>
        <v>2</v>
      </c>
      <c r="J3" s="226">
        <f>CEILING(100/('Damage @Range(Armor)'!I3),1)</f>
        <v>2</v>
      </c>
      <c r="K3" s="226">
        <f>CEILING(100/('Damage @Range(Armor)'!J3),1)</f>
        <v>2</v>
      </c>
      <c r="L3" s="226">
        <f>CEILING(100/('Damage @Range(Armor)'!K3),1)</f>
        <v>2</v>
      </c>
      <c r="M3" s="226">
        <f>CEILING(100/('Damage @Range(Armor)'!L3),1)</f>
        <v>2</v>
      </c>
      <c r="N3" s="226">
        <f>CEILING(100/('Damage @Range(Armor)'!M3),1)</f>
        <v>2</v>
      </c>
      <c r="O3" s="226">
        <f>CEILING(100/('Damage @Range(Armor)'!N3),1)</f>
        <v>2</v>
      </c>
      <c r="P3" s="226">
        <f>CEILING(100/('Damage @Range(Armor)'!O3),1)</f>
        <v>2</v>
      </c>
      <c r="Q3" s="226">
        <f>CEILING(100/('Damage @Range(Armor)'!P3),1)</f>
        <v>2</v>
      </c>
      <c r="R3" s="226">
        <f>CEILING(100/('Damage @Range(Armor)'!Q3),1)</f>
        <v>2</v>
      </c>
      <c r="S3" s="226">
        <f>CEILING(100/('Damage @Range(Armor)'!R3),1)</f>
        <v>2</v>
      </c>
      <c r="T3" s="226">
        <f>CEILING(100/('Damage @Range(Armor)'!S3),1)</f>
        <v>2</v>
      </c>
      <c r="U3" s="226">
        <f>CEILING(100/('Damage @Range(Armor)'!T3),1)</f>
        <v>2</v>
      </c>
      <c r="V3" s="227"/>
      <c r="W3" s="226">
        <f>CEILING(100/('Damage @Range(Armor)'!V3),1)</f>
        <v>2</v>
      </c>
      <c r="X3" s="226">
        <f>CEILING(100/('Damage @Range(Armor)'!W3),1)</f>
        <v>2</v>
      </c>
      <c r="Y3" s="226">
        <f>CEILING(100/('Damage @Range(Armor)'!X3),1)</f>
        <v>2</v>
      </c>
      <c r="Z3" s="176"/>
      <c r="AA3" s="15">
        <f>SUM((G3-1)*'Raw Values'!F3)</f>
        <v>0.5</v>
      </c>
      <c r="AB3" s="15">
        <f>SUM((I3-1)*'Raw Values'!F3)</f>
        <v>0.5</v>
      </c>
      <c r="AC3" s="15">
        <f>SUM((L3-1)*'Raw Values'!F3)</f>
        <v>0.5</v>
      </c>
      <c r="AD3" s="15">
        <f>SUM((R3-1)*'Raw Values'!F3)</f>
        <v>0.5</v>
      </c>
    </row>
    <row r="4" spans="1:30" ht="15.75" customHeight="1" x14ac:dyDescent="0.15">
      <c r="A4" s="9" t="s">
        <v>145</v>
      </c>
      <c r="B4" s="212">
        <f>'Raw Values'!B4</f>
        <v>1.1499999999999999</v>
      </c>
      <c r="C4" s="18">
        <f>'Raw Values'!C4</f>
        <v>38</v>
      </c>
      <c r="D4" s="15">
        <f>'Raw Values'!D4</f>
        <v>0.79</v>
      </c>
      <c r="E4" s="15">
        <f>'Raw Values'!F4</f>
        <v>0.12</v>
      </c>
      <c r="F4" s="176"/>
      <c r="G4" s="226">
        <f>CEILING(100/('Damage @Range(Armor)'!F4),1)</f>
        <v>5</v>
      </c>
      <c r="H4" s="226">
        <f>CEILING(100/('Damage @Range(Armor)'!G4),1)</f>
        <v>6</v>
      </c>
      <c r="I4" s="226">
        <f>CEILING(100/('Damage @Range(Armor)'!H4),1)</f>
        <v>6</v>
      </c>
      <c r="J4" s="226">
        <f>CEILING(100/('Damage @Range(Armor)'!I4),1)</f>
        <v>6</v>
      </c>
      <c r="K4" s="226">
        <f>CEILING(100/('Damage @Range(Armor)'!J4),1)</f>
        <v>6</v>
      </c>
      <c r="L4" s="226">
        <f>CEILING(100/('Damage @Range(Armor)'!K4),1)</f>
        <v>7</v>
      </c>
      <c r="M4" s="226">
        <f>CEILING(100/('Damage @Range(Armor)'!L4),1)</f>
        <v>7</v>
      </c>
      <c r="N4" s="226">
        <f>CEILING(100/('Damage @Range(Armor)'!M4),1)</f>
        <v>7</v>
      </c>
      <c r="O4" s="226">
        <f>CEILING(100/('Damage @Range(Armor)'!N4),1)</f>
        <v>7</v>
      </c>
      <c r="P4" s="226">
        <f>CEILING(100/('Damage @Range(Armor)'!O4),1)</f>
        <v>8</v>
      </c>
      <c r="Q4" s="226">
        <f>CEILING(100/('Damage @Range(Armor)'!P4),1)</f>
        <v>8</v>
      </c>
      <c r="R4" s="226">
        <f>CEILING(100/('Damage @Range(Armor)'!Q4),1)</f>
        <v>9</v>
      </c>
      <c r="S4" s="226">
        <f>CEILING(100/('Damage @Range(Armor)'!R4),1)</f>
        <v>9</v>
      </c>
      <c r="T4" s="226">
        <f>CEILING(100/('Damage @Range(Armor)'!S4),1)</f>
        <v>9</v>
      </c>
      <c r="U4" s="226">
        <f>CEILING(100/('Damage @Range(Armor)'!T4),1)</f>
        <v>10</v>
      </c>
      <c r="V4" s="227"/>
      <c r="W4" s="226">
        <f>CEILING(100/('Damage @Range(Armor)'!V4),1)</f>
        <v>12</v>
      </c>
      <c r="X4" s="226">
        <f>CEILING(100/('Damage @Range(Armor)'!W4),1)</f>
        <v>15</v>
      </c>
      <c r="Y4" s="226">
        <f>CEILING(100/('Damage @Range(Armor)'!X4),1)</f>
        <v>19</v>
      </c>
      <c r="Z4" s="176"/>
      <c r="AA4" s="15">
        <f>SUM((G4-1)*'Raw Values'!F4)</f>
        <v>0.48</v>
      </c>
      <c r="AB4" s="15">
        <f>SUM((I4-1)*'Raw Values'!F4)</f>
        <v>0.6</v>
      </c>
      <c r="AC4" s="15">
        <f>SUM((L4-1)*'Raw Values'!F4)</f>
        <v>0.72</v>
      </c>
      <c r="AD4" s="15">
        <f>SUM((R4-1)*'Raw Values'!F4)</f>
        <v>0.96</v>
      </c>
    </row>
    <row r="5" spans="1:30" ht="15.75" customHeight="1" x14ac:dyDescent="0.15">
      <c r="A5" s="35" t="s">
        <v>146</v>
      </c>
      <c r="B5" s="212">
        <f>'Raw Values'!B5</f>
        <v>1.823</v>
      </c>
      <c r="C5" s="18">
        <f>'Raw Values'!C5</f>
        <v>32</v>
      </c>
      <c r="D5" s="15">
        <f>'Raw Values'!D5</f>
        <v>0.81</v>
      </c>
      <c r="E5" s="15">
        <f>'Raw Values'!F5</f>
        <v>0.15</v>
      </c>
      <c r="F5" s="176"/>
      <c r="G5" s="226">
        <f>CEILING(100/('Damage @Range(Armor)'!F5),1)</f>
        <v>4</v>
      </c>
      <c r="H5" s="226">
        <f>CEILING(100/('Damage @Range(Armor)'!G5),1)</f>
        <v>4</v>
      </c>
      <c r="I5" s="226">
        <f>CEILING(100/('Damage @Range(Armor)'!H5),1)</f>
        <v>4</v>
      </c>
      <c r="J5" s="226">
        <f>CEILING(100/('Damage @Range(Armor)'!I5),1)</f>
        <v>5</v>
      </c>
      <c r="K5" s="226">
        <f>CEILING(100/('Damage @Range(Armor)'!J5),1)</f>
        <v>5</v>
      </c>
      <c r="L5" s="226">
        <f>CEILING(100/('Damage @Range(Armor)'!K5),1)</f>
        <v>5</v>
      </c>
      <c r="M5" s="226">
        <f>CEILING(100/('Damage @Range(Armor)'!L5),1)</f>
        <v>5</v>
      </c>
      <c r="N5" s="226">
        <f>CEILING(100/('Damage @Range(Armor)'!M5),1)</f>
        <v>5</v>
      </c>
      <c r="O5" s="226">
        <f>CEILING(100/('Damage @Range(Armor)'!N5),1)</f>
        <v>6</v>
      </c>
      <c r="P5" s="226">
        <f>CEILING(100/('Damage @Range(Armor)'!O5),1)</f>
        <v>6</v>
      </c>
      <c r="Q5" s="226">
        <f>CEILING(100/('Damage @Range(Armor)'!P5),1)</f>
        <v>6</v>
      </c>
      <c r="R5" s="226">
        <f>CEILING(100/('Damage @Range(Armor)'!Q5),1)</f>
        <v>6</v>
      </c>
      <c r="S5" s="226">
        <f>CEILING(100/('Damage @Range(Armor)'!R5),1)</f>
        <v>6</v>
      </c>
      <c r="T5" s="226">
        <f>CEILING(100/('Damage @Range(Armor)'!S5),1)</f>
        <v>7</v>
      </c>
      <c r="U5" s="226">
        <f>CEILING(100/('Damage @Range(Armor)'!T5),1)</f>
        <v>7</v>
      </c>
      <c r="V5" s="227"/>
      <c r="W5" s="226">
        <f>CEILING(100/('Damage @Range(Armor)'!V5),1)</f>
        <v>8</v>
      </c>
      <c r="X5" s="226">
        <f>CEILING(100/('Damage @Range(Armor)'!W5),1)</f>
        <v>10</v>
      </c>
      <c r="Y5" s="226">
        <f>CEILING(100/('Damage @Range(Armor)'!X5),1)</f>
        <v>13</v>
      </c>
      <c r="Z5" s="176"/>
      <c r="AA5" s="15">
        <f>SUM((G5-1)*'Raw Values'!F5)</f>
        <v>0.44999999999999996</v>
      </c>
      <c r="AB5" s="15">
        <f>SUM((I5-1)*'Raw Values'!F5)</f>
        <v>0.44999999999999996</v>
      </c>
      <c r="AC5" s="15">
        <f>SUM((L5-1)*'Raw Values'!F5)</f>
        <v>0.6</v>
      </c>
      <c r="AD5" s="15">
        <f>SUM((R5-1)*'Raw Values'!F5)</f>
        <v>0.75</v>
      </c>
    </row>
    <row r="6" spans="1:30" ht="15.75" customHeight="1" x14ac:dyDescent="0.15">
      <c r="A6" s="36" t="s">
        <v>147</v>
      </c>
      <c r="B6" s="212">
        <f>'Raw Values'!B6</f>
        <v>0.94</v>
      </c>
      <c r="C6" s="18">
        <f>'Raw Values'!C6</f>
        <v>30</v>
      </c>
      <c r="D6" s="15">
        <f>'Raw Values'!D6</f>
        <v>0.85</v>
      </c>
      <c r="E6" s="15">
        <f>'Raw Values'!F6</f>
        <v>0.15</v>
      </c>
      <c r="F6" s="176"/>
      <c r="G6" s="226">
        <f>CEILING(100/('Damage @Range(Armor)'!F6),1)</f>
        <v>8</v>
      </c>
      <c r="H6" s="226">
        <f>CEILING(100/('Damage @Range(Armor)'!G6),1)</f>
        <v>8</v>
      </c>
      <c r="I6" s="226">
        <f>CEILING(100/('Damage @Range(Armor)'!H6),1)</f>
        <v>8</v>
      </c>
      <c r="J6" s="226">
        <f>CEILING(100/('Damage @Range(Armor)'!I6),1)</f>
        <v>9</v>
      </c>
      <c r="K6" s="226">
        <f>CEILING(100/('Damage @Range(Armor)'!J6),1)</f>
        <v>9</v>
      </c>
      <c r="L6" s="226">
        <f>CEILING(100/('Damage @Range(Armor)'!K6),1)</f>
        <v>9</v>
      </c>
      <c r="M6" s="226">
        <f>CEILING(100/('Damage @Range(Armor)'!L6),1)</f>
        <v>9</v>
      </c>
      <c r="N6" s="226">
        <f>CEILING(100/('Damage @Range(Armor)'!M6),1)</f>
        <v>10</v>
      </c>
      <c r="O6" s="226">
        <f>CEILING(100/('Damage @Range(Armor)'!N6),1)</f>
        <v>10</v>
      </c>
      <c r="P6" s="226">
        <f>CEILING(100/('Damage @Range(Armor)'!O6),1)</f>
        <v>10</v>
      </c>
      <c r="Q6" s="226">
        <f>CEILING(100/('Damage @Range(Armor)'!P6),1)</f>
        <v>11</v>
      </c>
      <c r="R6" s="226">
        <f>CEILING(100/('Damage @Range(Armor)'!Q6),1)</f>
        <v>11</v>
      </c>
      <c r="S6" s="226">
        <f>CEILING(100/('Damage @Range(Armor)'!R6),1)</f>
        <v>11</v>
      </c>
      <c r="T6" s="226">
        <f>CEILING(100/('Damage @Range(Armor)'!S6),1)</f>
        <v>12</v>
      </c>
      <c r="U6" s="226">
        <f>CEILING(100/('Damage @Range(Armor)'!T6),1)</f>
        <v>12</v>
      </c>
      <c r="V6" s="227"/>
      <c r="W6" s="226">
        <f>CEILING(100/('Damage @Range(Armor)'!V6),1)</f>
        <v>14</v>
      </c>
      <c r="X6" s="226">
        <f>CEILING(100/('Damage @Range(Armor)'!W6),1)</f>
        <v>16</v>
      </c>
      <c r="Y6" s="226">
        <f>CEILING(100/('Damage @Range(Armor)'!X6),1)</f>
        <v>19</v>
      </c>
      <c r="Z6" s="176"/>
      <c r="AA6" s="15">
        <f>SUM((G6-1)*'Raw Values'!F6)</f>
        <v>1.05</v>
      </c>
      <c r="AB6" s="15">
        <f>SUM((I6-1)*'Raw Values'!F6)</f>
        <v>1.05</v>
      </c>
      <c r="AC6" s="15">
        <f>SUM((L6-1)*'Raw Values'!F6)</f>
        <v>1.2</v>
      </c>
      <c r="AD6" s="15">
        <f>SUM((R6-1)*'Raw Values'!F6)</f>
        <v>1.5</v>
      </c>
    </row>
    <row r="7" spans="1:30" ht="15.75" customHeight="1" x14ac:dyDescent="0.15">
      <c r="A7" s="35" t="s">
        <v>148</v>
      </c>
      <c r="B7" s="212">
        <f>'Raw Values'!B7</f>
        <v>1.01</v>
      </c>
      <c r="C7" s="18">
        <f>'Raw Values'!C7</f>
        <v>35</v>
      </c>
      <c r="D7" s="15">
        <f>'Raw Values'!D7</f>
        <v>0.91</v>
      </c>
      <c r="E7" s="15">
        <f>'Raw Values'!F7</f>
        <v>0.17</v>
      </c>
      <c r="F7" s="176"/>
      <c r="G7" s="226">
        <f>CEILING(100/('Damage @Range(Armor)'!F7),1)</f>
        <v>6</v>
      </c>
      <c r="H7" s="226">
        <f>CEILING(100/('Damage @Range(Armor)'!G7),1)</f>
        <v>6</v>
      </c>
      <c r="I7" s="226">
        <f>CEILING(100/('Damage @Range(Armor)'!H7),1)</f>
        <v>6</v>
      </c>
      <c r="J7" s="226">
        <f>CEILING(100/('Damage @Range(Armor)'!I7),1)</f>
        <v>7</v>
      </c>
      <c r="K7" s="226">
        <f>CEILING(100/('Damage @Range(Armor)'!J7),1)</f>
        <v>7</v>
      </c>
      <c r="L7" s="226">
        <f>CEILING(100/('Damage @Range(Armor)'!K7),1)</f>
        <v>7</v>
      </c>
      <c r="M7" s="226">
        <f>CEILING(100/('Damage @Range(Armor)'!L7),1)</f>
        <v>7</v>
      </c>
      <c r="N7" s="226">
        <f>CEILING(100/('Damage @Range(Armor)'!M7),1)</f>
        <v>7</v>
      </c>
      <c r="O7" s="226">
        <f>CEILING(100/('Damage @Range(Armor)'!N7),1)</f>
        <v>7</v>
      </c>
      <c r="P7" s="226">
        <f>CEILING(100/('Damage @Range(Armor)'!O7),1)</f>
        <v>7</v>
      </c>
      <c r="Q7" s="226">
        <f>CEILING(100/('Damage @Range(Armor)'!P7),1)</f>
        <v>7</v>
      </c>
      <c r="R7" s="226">
        <f>CEILING(100/('Damage @Range(Armor)'!Q7),1)</f>
        <v>8</v>
      </c>
      <c r="S7" s="226">
        <f>CEILING(100/('Damage @Range(Armor)'!R7),1)</f>
        <v>8</v>
      </c>
      <c r="T7" s="226">
        <f>CEILING(100/('Damage @Range(Armor)'!S7),1)</f>
        <v>8</v>
      </c>
      <c r="U7" s="226">
        <f>CEILING(100/('Damage @Range(Armor)'!T7),1)</f>
        <v>8</v>
      </c>
      <c r="V7" s="227"/>
      <c r="W7" s="226">
        <f>CEILING(100/('Damage @Range(Armor)'!V7),1)</f>
        <v>9</v>
      </c>
      <c r="X7" s="226">
        <f>CEILING(100/('Damage @Range(Armor)'!W7),1)</f>
        <v>10</v>
      </c>
      <c r="Y7" s="226">
        <f>CEILING(100/('Damage @Range(Armor)'!X7),1)</f>
        <v>10</v>
      </c>
      <c r="Z7" s="176"/>
      <c r="AA7" s="15">
        <f>SUM((G7-1)*'Raw Values'!F7)</f>
        <v>0.85000000000000009</v>
      </c>
      <c r="AB7" s="15">
        <f>SUM((I7-1)*'Raw Values'!F7)</f>
        <v>0.85000000000000009</v>
      </c>
      <c r="AC7" s="15">
        <f>SUM((L7-1)*'Raw Values'!F7)</f>
        <v>1.02</v>
      </c>
      <c r="AD7" s="15">
        <f>SUM((R7-1)*'Raw Values'!F7)</f>
        <v>1.1900000000000002</v>
      </c>
    </row>
    <row r="8" spans="1:30" ht="15.75" customHeight="1" x14ac:dyDescent="0.15">
      <c r="A8" s="35" t="s">
        <v>149</v>
      </c>
      <c r="B8" s="212">
        <f>'Raw Values'!B8</f>
        <v>1.01</v>
      </c>
      <c r="C8" s="18">
        <f>'Raw Values'!C8</f>
        <v>35</v>
      </c>
      <c r="D8" s="15">
        <f>'Raw Values'!D8</f>
        <v>0.91</v>
      </c>
      <c r="E8" s="15">
        <f>'Raw Values'!F8</f>
        <v>0.17</v>
      </c>
      <c r="F8" s="176"/>
      <c r="G8" s="226">
        <f>CEILING(100/('Damage @Range(Armor)'!F8),1)</f>
        <v>6</v>
      </c>
      <c r="H8" s="226">
        <f>CEILING(100/('Damage @Range(Armor)'!G8),1)</f>
        <v>6</v>
      </c>
      <c r="I8" s="226">
        <f>CEILING(100/('Damage @Range(Armor)'!H8),1)</f>
        <v>6</v>
      </c>
      <c r="J8" s="226">
        <f>CEILING(100/('Damage @Range(Armor)'!I8),1)</f>
        <v>7</v>
      </c>
      <c r="K8" s="226">
        <f>CEILING(100/('Damage @Range(Armor)'!J8),1)</f>
        <v>7</v>
      </c>
      <c r="L8" s="226">
        <f>CEILING(100/('Damage @Range(Armor)'!K8),1)</f>
        <v>7</v>
      </c>
      <c r="M8" s="226">
        <f>CEILING(100/('Damage @Range(Armor)'!L8),1)</f>
        <v>7</v>
      </c>
      <c r="N8" s="226">
        <f>CEILING(100/('Damage @Range(Armor)'!M8),1)</f>
        <v>7</v>
      </c>
      <c r="O8" s="226">
        <f>CEILING(100/('Damage @Range(Armor)'!N8),1)</f>
        <v>7</v>
      </c>
      <c r="P8" s="226">
        <f>CEILING(100/('Damage @Range(Armor)'!O8),1)</f>
        <v>7</v>
      </c>
      <c r="Q8" s="226">
        <f>CEILING(100/('Damage @Range(Armor)'!P8),1)</f>
        <v>7</v>
      </c>
      <c r="R8" s="226">
        <f>CEILING(100/('Damage @Range(Armor)'!Q8),1)</f>
        <v>8</v>
      </c>
      <c r="S8" s="226">
        <f>CEILING(100/('Damage @Range(Armor)'!R8),1)</f>
        <v>8</v>
      </c>
      <c r="T8" s="226">
        <f>CEILING(100/('Damage @Range(Armor)'!S8),1)</f>
        <v>8</v>
      </c>
      <c r="U8" s="226">
        <f>CEILING(100/('Damage @Range(Armor)'!T8),1)</f>
        <v>8</v>
      </c>
      <c r="V8" s="227"/>
      <c r="W8" s="226">
        <f>CEILING(100/('Damage @Range(Armor)'!V8),1)</f>
        <v>9</v>
      </c>
      <c r="X8" s="226">
        <f>CEILING(100/('Damage @Range(Armor)'!W8),1)</f>
        <v>10</v>
      </c>
      <c r="Y8" s="226">
        <f>CEILING(100/('Damage @Range(Armor)'!X8),1)</f>
        <v>10</v>
      </c>
      <c r="Z8" s="176"/>
      <c r="AA8" s="15">
        <f>SUM((G8-1)*'Raw Values'!F8)</f>
        <v>0.85000000000000009</v>
      </c>
      <c r="AB8" s="15">
        <f>SUM((I8-1)*'Raw Values'!F8)</f>
        <v>0.85000000000000009</v>
      </c>
      <c r="AC8" s="15">
        <f>SUM((L8-1)*'Raw Values'!F8)</f>
        <v>1.02</v>
      </c>
      <c r="AD8" s="15">
        <f>SUM((R8-1)*'Raw Values'!F8)</f>
        <v>1.1900000000000002</v>
      </c>
    </row>
    <row r="9" spans="1:30" ht="15.75" customHeight="1" x14ac:dyDescent="0.15">
      <c r="A9" s="9" t="s">
        <v>150</v>
      </c>
      <c r="B9" s="212">
        <f>'Raw Values'!B9</f>
        <v>1.28</v>
      </c>
      <c r="C9" s="18">
        <f>'Raw Values'!C9</f>
        <v>38</v>
      </c>
      <c r="D9" s="15">
        <f>'Raw Values'!D9</f>
        <v>0.9</v>
      </c>
      <c r="E9" s="15">
        <f>'Raw Values'!F9</f>
        <v>0.15</v>
      </c>
      <c r="F9" s="176"/>
      <c r="G9" s="226">
        <f>CEILING(100/('Damage @Range(Armor)'!F9),1)</f>
        <v>5</v>
      </c>
      <c r="H9" s="226">
        <f>CEILING(100/('Damage @Range(Armor)'!G9),1)</f>
        <v>5</v>
      </c>
      <c r="I9" s="226">
        <f>CEILING(100/('Damage @Range(Armor)'!H9),1)</f>
        <v>5</v>
      </c>
      <c r="J9" s="226">
        <f>CEILING(100/('Damage @Range(Armor)'!I9),1)</f>
        <v>5</v>
      </c>
      <c r="K9" s="226">
        <f>CEILING(100/('Damage @Range(Armor)'!J9),1)</f>
        <v>5</v>
      </c>
      <c r="L9" s="226">
        <f>CEILING(100/('Damage @Range(Armor)'!K9),1)</f>
        <v>5</v>
      </c>
      <c r="M9" s="226">
        <f>CEILING(100/('Damage @Range(Armor)'!L9),1)</f>
        <v>5</v>
      </c>
      <c r="N9" s="226">
        <f>CEILING(100/('Damage @Range(Armor)'!M9),1)</f>
        <v>5</v>
      </c>
      <c r="O9" s="226">
        <f>CEILING(100/('Damage @Range(Armor)'!N9),1)</f>
        <v>5</v>
      </c>
      <c r="P9" s="226">
        <f>CEILING(100/('Damage @Range(Armor)'!O9),1)</f>
        <v>6</v>
      </c>
      <c r="Q9" s="226">
        <f>CEILING(100/('Damage @Range(Armor)'!P9),1)</f>
        <v>6</v>
      </c>
      <c r="R9" s="226">
        <f>CEILING(100/('Damage @Range(Armor)'!Q9),1)</f>
        <v>6</v>
      </c>
      <c r="S9" s="226">
        <f>CEILING(100/('Damage @Range(Armor)'!R9),1)</f>
        <v>6</v>
      </c>
      <c r="T9" s="226">
        <f>CEILING(100/('Damage @Range(Armor)'!S9),1)</f>
        <v>6</v>
      </c>
      <c r="U9" s="226">
        <f>CEILING(100/('Damage @Range(Armor)'!T9),1)</f>
        <v>6</v>
      </c>
      <c r="V9" s="227"/>
      <c r="W9" s="226">
        <f>CEILING(100/('Damage @Range(Armor)'!V9),1)</f>
        <v>7</v>
      </c>
      <c r="X9" s="226">
        <f>CEILING(100/('Damage @Range(Armor)'!W9),1)</f>
        <v>7</v>
      </c>
      <c r="Y9" s="226">
        <f>CEILING(100/('Damage @Range(Armor)'!X9),1)</f>
        <v>8</v>
      </c>
      <c r="Z9" s="176"/>
      <c r="AA9" s="15">
        <f>SUM((G9-1)*'Raw Values'!F9)</f>
        <v>0.6</v>
      </c>
      <c r="AB9" s="15">
        <f>SUM((I9-1)*'Raw Values'!F9)</f>
        <v>0.6</v>
      </c>
      <c r="AC9" s="15">
        <f>SUM((L9-1)*'Raw Values'!F9)</f>
        <v>0.6</v>
      </c>
      <c r="AD9" s="15">
        <f>SUM((R9-1)*'Raw Values'!F9)</f>
        <v>0.75</v>
      </c>
    </row>
    <row r="10" spans="1:30" ht="15.75" customHeight="1" x14ac:dyDescent="0.15">
      <c r="A10" s="9" t="s">
        <v>151</v>
      </c>
      <c r="B10" s="212">
        <f>'Raw Values'!B10</f>
        <v>1.5529999999999999</v>
      </c>
      <c r="C10" s="18">
        <f>'Raw Values'!C10</f>
        <v>31</v>
      </c>
      <c r="D10" s="15">
        <f>'Raw Values'!D10</f>
        <v>0.85</v>
      </c>
      <c r="E10" s="15">
        <f>'Raw Values'!F10</f>
        <v>0.1</v>
      </c>
      <c r="F10" s="176"/>
      <c r="G10" s="226">
        <f>CEILING(100/('Damage @Range(Armor)'!F10),1)</f>
        <v>5</v>
      </c>
      <c r="H10" s="226">
        <f>CEILING(100/('Damage @Range(Armor)'!G10),1)</f>
        <v>5</v>
      </c>
      <c r="I10" s="226">
        <f>CEILING(100/('Damage @Range(Armor)'!H10),1)</f>
        <v>5</v>
      </c>
      <c r="J10" s="226">
        <f>CEILING(100/('Damage @Range(Armor)'!I10),1)</f>
        <v>5</v>
      </c>
      <c r="K10" s="226">
        <f>CEILING(100/('Damage @Range(Armor)'!J10),1)</f>
        <v>5</v>
      </c>
      <c r="L10" s="226">
        <f>CEILING(100/('Damage @Range(Armor)'!K10),1)</f>
        <v>6</v>
      </c>
      <c r="M10" s="226">
        <f>CEILING(100/('Damage @Range(Armor)'!L10),1)</f>
        <v>6</v>
      </c>
      <c r="N10" s="226">
        <f>CEILING(100/('Damage @Range(Armor)'!M10),1)</f>
        <v>6</v>
      </c>
      <c r="O10" s="226">
        <f>CEILING(100/('Damage @Range(Armor)'!N10),1)</f>
        <v>6</v>
      </c>
      <c r="P10" s="226">
        <f>CEILING(100/('Damage @Range(Armor)'!O10),1)</f>
        <v>6</v>
      </c>
      <c r="Q10" s="226">
        <f>CEILING(100/('Damage @Range(Armor)'!P10),1)</f>
        <v>6</v>
      </c>
      <c r="R10" s="226">
        <f>CEILING(100/('Damage @Range(Armor)'!Q10),1)</f>
        <v>7</v>
      </c>
      <c r="S10" s="226">
        <f>CEILING(100/('Damage @Range(Armor)'!R10),1)</f>
        <v>7</v>
      </c>
      <c r="T10" s="226">
        <f>CEILING(100/('Damage @Range(Armor)'!S10),1)</f>
        <v>7</v>
      </c>
      <c r="U10" s="226">
        <f>CEILING(100/('Damage @Range(Armor)'!T10),1)</f>
        <v>7</v>
      </c>
      <c r="V10" s="227"/>
      <c r="W10" s="226">
        <f>CEILING(100/('Damage @Range(Armor)'!V10),1)</f>
        <v>8</v>
      </c>
      <c r="X10" s="226">
        <f>CEILING(100/('Damage @Range(Armor)'!W10),1)</f>
        <v>10</v>
      </c>
      <c r="Y10" s="226">
        <f>CEILING(100/('Damage @Range(Armor)'!X10),1)</f>
        <v>12</v>
      </c>
      <c r="Z10" s="176"/>
      <c r="AA10" s="15">
        <f>SUM((G10-1)*'Raw Values'!F10)</f>
        <v>0.4</v>
      </c>
      <c r="AB10" s="15">
        <f>SUM((I10-1)*'Raw Values'!F10)</f>
        <v>0.4</v>
      </c>
      <c r="AC10" s="15">
        <f>SUM((L10-1)*'Raw Values'!F10)</f>
        <v>0.5</v>
      </c>
      <c r="AD10" s="15">
        <f>SUM((R10-1)*'Raw Values'!F10)</f>
        <v>0.60000000000000009</v>
      </c>
    </row>
    <row r="11" spans="1:30" ht="15.75" customHeight="1" x14ac:dyDescent="0.15">
      <c r="A11" s="36" t="s">
        <v>152</v>
      </c>
      <c r="B11" s="212">
        <f>'Raw Values'!B11</f>
        <v>1.8120000000000001</v>
      </c>
      <c r="C11" s="18">
        <f>'Raw Values'!C11</f>
        <v>33</v>
      </c>
      <c r="D11" s="15">
        <f>'Raw Values'!D11</f>
        <v>0.79</v>
      </c>
      <c r="E11" s="15">
        <f>'Raw Values'!F11</f>
        <v>0.12</v>
      </c>
      <c r="F11" s="176"/>
      <c r="G11" s="226">
        <f>CEILING(100/('Damage @Range(Armor)'!F11),1)</f>
        <v>4</v>
      </c>
      <c r="H11" s="226">
        <f>CEILING(100/('Damage @Range(Armor)'!G11),1)</f>
        <v>4</v>
      </c>
      <c r="I11" s="226">
        <f>CEILING(100/('Damage @Range(Armor)'!H11),1)</f>
        <v>4</v>
      </c>
      <c r="J11" s="226">
        <f>CEILING(100/('Damage @Range(Armor)'!I11),1)</f>
        <v>5</v>
      </c>
      <c r="K11" s="226">
        <f>CEILING(100/('Damage @Range(Armor)'!J11),1)</f>
        <v>5</v>
      </c>
      <c r="L11" s="226">
        <f>CEILING(100/('Damage @Range(Armor)'!K11),1)</f>
        <v>5</v>
      </c>
      <c r="M11" s="226">
        <f>CEILING(100/('Damage @Range(Armor)'!L11),1)</f>
        <v>5</v>
      </c>
      <c r="N11" s="226">
        <f>CEILING(100/('Damage @Range(Armor)'!M11),1)</f>
        <v>5</v>
      </c>
      <c r="O11" s="226">
        <f>CEILING(100/('Damage @Range(Armor)'!N11),1)</f>
        <v>6</v>
      </c>
      <c r="P11" s="226">
        <f>CEILING(100/('Damage @Range(Armor)'!O11),1)</f>
        <v>6</v>
      </c>
      <c r="Q11" s="226">
        <f>CEILING(100/('Damage @Range(Armor)'!P11),1)</f>
        <v>6</v>
      </c>
      <c r="R11" s="226">
        <f>CEILING(100/('Damage @Range(Armor)'!Q11),1)</f>
        <v>6</v>
      </c>
      <c r="S11" s="226">
        <f>CEILING(100/('Damage @Range(Armor)'!R11),1)</f>
        <v>7</v>
      </c>
      <c r="T11" s="226">
        <f>CEILING(100/('Damage @Range(Armor)'!S11),1)</f>
        <v>7</v>
      </c>
      <c r="U11" s="226">
        <f>CEILING(100/('Damage @Range(Armor)'!T11),1)</f>
        <v>7</v>
      </c>
      <c r="V11" s="227"/>
      <c r="W11" s="226">
        <f>CEILING(100/('Damage @Range(Armor)'!V11),1)</f>
        <v>9</v>
      </c>
      <c r="X11" s="226">
        <f>CEILING(100/('Damage @Range(Armor)'!W11),1)</f>
        <v>11</v>
      </c>
      <c r="Y11" s="226">
        <f>CEILING(100/('Damage @Range(Armor)'!X11),1)</f>
        <v>14</v>
      </c>
      <c r="Z11" s="176"/>
      <c r="AA11" s="15">
        <f>SUM((G11-1)*'Raw Values'!F11)</f>
        <v>0.36</v>
      </c>
      <c r="AB11" s="15">
        <f>SUM((I11-1)*'Raw Values'!F11)</f>
        <v>0.36</v>
      </c>
      <c r="AC11" s="15">
        <f>SUM((L11-1)*'Raw Values'!F11)</f>
        <v>0.48</v>
      </c>
      <c r="AD11" s="15">
        <f>SUM((R11-1)*'Raw Values'!F11)</f>
        <v>0.6</v>
      </c>
    </row>
    <row r="12" spans="1:30" ht="15.75" customHeight="1" x14ac:dyDescent="0.15">
      <c r="A12" s="39"/>
      <c r="B12" s="98"/>
      <c r="C12" s="214"/>
      <c r="D12" s="41"/>
      <c r="E12" s="177"/>
      <c r="F12" s="179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9"/>
      <c r="W12" s="230"/>
      <c r="X12" s="230"/>
      <c r="Y12" s="230"/>
      <c r="Z12" s="179"/>
      <c r="AA12" s="41"/>
      <c r="AB12" s="41"/>
      <c r="AC12" s="41"/>
      <c r="AD12" s="41"/>
    </row>
    <row r="13" spans="1:30" ht="15.75" customHeight="1" x14ac:dyDescent="0.15">
      <c r="A13" s="1" t="s">
        <v>53</v>
      </c>
      <c r="B13" s="66" t="s">
        <v>262</v>
      </c>
      <c r="C13" s="210" t="s">
        <v>3</v>
      </c>
      <c r="D13" s="4" t="s">
        <v>93</v>
      </c>
      <c r="E13" s="69" t="s">
        <v>95</v>
      </c>
      <c r="F13" s="204"/>
      <c r="G13" s="223" t="s">
        <v>264</v>
      </c>
      <c r="H13" s="223" t="s">
        <v>265</v>
      </c>
      <c r="I13" s="223" t="s">
        <v>266</v>
      </c>
      <c r="J13" s="223" t="s">
        <v>267</v>
      </c>
      <c r="K13" s="223" t="s">
        <v>268</v>
      </c>
      <c r="L13" s="223" t="s">
        <v>269</v>
      </c>
      <c r="M13" s="223" t="s">
        <v>270</v>
      </c>
      <c r="N13" s="223" t="s">
        <v>271</v>
      </c>
      <c r="O13" s="223" t="s">
        <v>272</v>
      </c>
      <c r="P13" s="223" t="s">
        <v>273</v>
      </c>
      <c r="Q13" s="223" t="s">
        <v>274</v>
      </c>
      <c r="R13" s="223" t="s">
        <v>275</v>
      </c>
      <c r="S13" s="223" t="s">
        <v>276</v>
      </c>
      <c r="T13" s="223" t="s">
        <v>277</v>
      </c>
      <c r="U13" s="223" t="s">
        <v>278</v>
      </c>
      <c r="V13" s="231"/>
      <c r="W13" s="232"/>
      <c r="X13" s="232"/>
      <c r="Y13" s="232"/>
      <c r="Z13" s="233"/>
      <c r="AA13" s="4" t="s">
        <v>282</v>
      </c>
      <c r="AB13" s="4" t="s">
        <v>283</v>
      </c>
      <c r="AC13" s="4" t="s">
        <v>284</v>
      </c>
      <c r="AD13" s="4" t="s">
        <v>285</v>
      </c>
    </row>
    <row r="14" spans="1:30" ht="15.75" customHeight="1" x14ac:dyDescent="0.15">
      <c r="A14" s="35" t="s">
        <v>153</v>
      </c>
      <c r="B14" s="212">
        <f>'Raw Values'!B14</f>
        <v>1.5</v>
      </c>
      <c r="C14" s="18">
        <f>'Raw Values'!C14</f>
        <v>30</v>
      </c>
      <c r="D14" s="15">
        <f>'Raw Values'!D14</f>
        <v>0.45</v>
      </c>
      <c r="E14" s="15">
        <f>'Raw Values'!F14</f>
        <v>0.85</v>
      </c>
      <c r="F14" s="176"/>
      <c r="G14" s="226">
        <f>CEILING(100/('Damage @Range(Armor)'!F14*'Raw Values'!$O$14),1)</f>
        <v>1</v>
      </c>
      <c r="H14" s="226">
        <f>CEILING(100/('Damage @Range(Armor)'!G14*'Raw Values'!$O$14),1)</f>
        <v>1</v>
      </c>
      <c r="I14" s="226">
        <f>CEILING(100/('Damage @Range(Armor)'!H14*'Raw Values'!$O$14),1)</f>
        <v>1</v>
      </c>
      <c r="J14" s="226">
        <f>CEILING(100/('Damage @Range(Armor)'!I14*'Raw Values'!$O$14),1)</f>
        <v>2</v>
      </c>
      <c r="K14" s="226">
        <f>CEILING(100/('Damage @Range(Armor)'!J14*'Raw Values'!$O$14),1)</f>
        <v>2</v>
      </c>
      <c r="L14" s="226">
        <f>CEILING(100/('Damage @Range(Armor)'!K14*'Raw Values'!$O$14),1)</f>
        <v>2</v>
      </c>
      <c r="M14" s="226">
        <f>CEILING(100/('Damage @Range(Armor)'!L14*'Raw Values'!$O$14),1)</f>
        <v>2</v>
      </c>
      <c r="N14" s="226">
        <f>CEILING(100/('Damage @Range(Armor)'!M14*'Raw Values'!$O$14),1)</f>
        <v>2</v>
      </c>
      <c r="O14" s="226">
        <f>CEILING(100/('Damage @Range(Armor)'!N14*'Raw Values'!$O$14),1)</f>
        <v>3</v>
      </c>
      <c r="P14" s="226">
        <f>CEILING(100/('Damage @Range(Armor)'!O14*'Raw Values'!$O$14),1)</f>
        <v>3</v>
      </c>
      <c r="Q14" s="226">
        <f>CEILING(100/('Damage @Range(Armor)'!P14*'Raw Values'!$O$14),1)</f>
        <v>4</v>
      </c>
      <c r="R14" s="226">
        <f>CEILING(100/('Damage @Range(Armor)'!Q14*'Raw Values'!$O$14),1)</f>
        <v>4</v>
      </c>
      <c r="S14" s="226">
        <f>CEILING(100/('Damage @Range(Armor)'!R14*'Raw Values'!$O$14),1)</f>
        <v>5</v>
      </c>
      <c r="T14" s="226">
        <f>CEILING(100/('Damage @Range(Armor)'!S14*'Raw Values'!$O$14),1)</f>
        <v>6</v>
      </c>
      <c r="U14" s="226">
        <f>CEILING(100/('Damage @Range(Armor)'!T14*'Raw Values'!$O$14),1)</f>
        <v>7</v>
      </c>
      <c r="V14" s="234"/>
      <c r="W14" s="235"/>
      <c r="X14" s="235"/>
      <c r="Y14" s="235"/>
      <c r="Z14" s="236"/>
      <c r="AA14" s="38" t="s">
        <v>286</v>
      </c>
      <c r="AB14" s="38" t="s">
        <v>286</v>
      </c>
      <c r="AC14" s="15">
        <f>SUM((L14-1)*'Raw Values'!F14)</f>
        <v>0.85</v>
      </c>
      <c r="AD14" s="15">
        <f>SUM((R14-1)*'Raw Values'!F14)</f>
        <v>2.5499999999999998</v>
      </c>
    </row>
    <row r="15" spans="1:30" ht="15.75" customHeight="1" x14ac:dyDescent="0.15">
      <c r="A15" s="9" t="s">
        <v>155</v>
      </c>
      <c r="B15" s="212">
        <f>'Raw Values'!B15</f>
        <v>1</v>
      </c>
      <c r="C15" s="18">
        <f>'Raw Values'!C15</f>
        <v>26</v>
      </c>
      <c r="D15" s="15">
        <f>'Raw Values'!D15</f>
        <v>0.7</v>
      </c>
      <c r="E15" s="15">
        <f>'Raw Values'!F15</f>
        <v>0.88</v>
      </c>
      <c r="F15" s="176"/>
      <c r="G15" s="226">
        <f>CEILING(100/('Damage @Range(Armor)'!F15*'Raw Values'!$O$15),1)</f>
        <v>1</v>
      </c>
      <c r="H15" s="226">
        <f>CEILING(100/('Damage @Range(Armor)'!G15*'Raw Values'!$O$15),1)</f>
        <v>1</v>
      </c>
      <c r="I15" s="226">
        <f>CEILING(100/('Damage @Range(Armor)'!H15*'Raw Values'!$O$15),1)</f>
        <v>2</v>
      </c>
      <c r="J15" s="226">
        <f>CEILING(100/('Damage @Range(Armor)'!I15*'Raw Values'!$O$15),1)</f>
        <v>2</v>
      </c>
      <c r="K15" s="226">
        <f>CEILING(100/('Damage @Range(Armor)'!J15*'Raw Values'!$O$15),1)</f>
        <v>2</v>
      </c>
      <c r="L15" s="226">
        <f>CEILING(100/('Damage @Range(Armor)'!K15*'Raw Values'!$O$15),1)</f>
        <v>2</v>
      </c>
      <c r="M15" s="226">
        <f>CEILING(100/('Damage @Range(Armor)'!L15*'Raw Values'!$O$15),1)</f>
        <v>2</v>
      </c>
      <c r="N15" s="226">
        <f>CEILING(100/('Damage @Range(Armor)'!M15*'Raw Values'!$O$15),1)</f>
        <v>2</v>
      </c>
      <c r="O15" s="226">
        <f>CEILING(100/('Damage @Range(Armor)'!N15*'Raw Values'!$O$15),1)</f>
        <v>2</v>
      </c>
      <c r="P15" s="226">
        <f>CEILING(100/('Damage @Range(Armor)'!O15*'Raw Values'!$O$15),1)</f>
        <v>2</v>
      </c>
      <c r="Q15" s="226">
        <f>CEILING(100/('Damage @Range(Armor)'!P15*'Raw Values'!$O$15),1)</f>
        <v>2</v>
      </c>
      <c r="R15" s="226">
        <f>CEILING(100/('Damage @Range(Armor)'!Q15*'Raw Values'!$O$15),1)</f>
        <v>3</v>
      </c>
      <c r="S15" s="226">
        <f>CEILING(100/('Damage @Range(Armor)'!R15*'Raw Values'!$O$15),1)</f>
        <v>3</v>
      </c>
      <c r="T15" s="226">
        <f>CEILING(100/('Damage @Range(Armor)'!S15*'Raw Values'!$O$15),1)</f>
        <v>3</v>
      </c>
      <c r="U15" s="226">
        <f>CEILING(100/('Damage @Range(Armor)'!T15*'Raw Values'!$O$15),1)</f>
        <v>3</v>
      </c>
      <c r="V15" s="234"/>
      <c r="W15" s="235"/>
      <c r="X15" s="235"/>
      <c r="Y15" s="235"/>
      <c r="Z15" s="236"/>
      <c r="AA15" s="38" t="s">
        <v>286</v>
      </c>
      <c r="AB15" s="15">
        <f>SUM((I15-1)*'Raw Values'!F15)</f>
        <v>0.88</v>
      </c>
      <c r="AC15" s="15">
        <f>SUM((L15-1)*'Raw Values'!F15)</f>
        <v>0.88</v>
      </c>
      <c r="AD15" s="15">
        <f>SUM((R15-1)*'Raw Values'!F15)</f>
        <v>1.76</v>
      </c>
    </row>
    <row r="16" spans="1:30" ht="15.75" customHeight="1" x14ac:dyDescent="0.15">
      <c r="A16" s="36" t="s">
        <v>156</v>
      </c>
      <c r="B16" s="212">
        <f>'Raw Values'!B16</f>
        <v>1.5</v>
      </c>
      <c r="C16" s="18">
        <f>'Raw Values'!C16</f>
        <v>32</v>
      </c>
      <c r="D16" s="15">
        <f>'Raw Values'!D16</f>
        <v>0.45</v>
      </c>
      <c r="E16" s="15">
        <f>'Raw Values'!F16</f>
        <v>0.85</v>
      </c>
      <c r="F16" s="176"/>
      <c r="G16" s="226">
        <f>CEILING(100/('Damage @Range(Armor)'!F16*'Raw Values'!$O$16),1)</f>
        <v>1</v>
      </c>
      <c r="H16" s="226">
        <f>CEILING(100/('Damage @Range(Armor)'!G16*'Raw Values'!$O$16),1)</f>
        <v>1</v>
      </c>
      <c r="I16" s="226">
        <f>CEILING(100/('Damage @Range(Armor)'!H16*'Raw Values'!$O$16),1)</f>
        <v>1</v>
      </c>
      <c r="J16" s="226">
        <f>CEILING(100/('Damage @Range(Armor)'!I16*'Raw Values'!$O$16),1)</f>
        <v>1</v>
      </c>
      <c r="K16" s="226">
        <f>CEILING(100/('Damage @Range(Armor)'!J16*'Raw Values'!$O$16),1)</f>
        <v>2</v>
      </c>
      <c r="L16" s="226">
        <f>CEILING(100/('Damage @Range(Armor)'!K16*'Raw Values'!$O$16),1)</f>
        <v>2</v>
      </c>
      <c r="M16" s="226">
        <f>CEILING(100/('Damage @Range(Armor)'!L16*'Raw Values'!$O$16),1)</f>
        <v>2</v>
      </c>
      <c r="N16" s="226">
        <f>CEILING(100/('Damage @Range(Armor)'!M16*'Raw Values'!$O$16),1)</f>
        <v>2</v>
      </c>
      <c r="O16" s="226">
        <f>CEILING(100/('Damage @Range(Armor)'!N16*'Raw Values'!$O$16),1)</f>
        <v>3</v>
      </c>
      <c r="P16" s="226">
        <f>CEILING(100/('Damage @Range(Armor)'!O16*'Raw Values'!$O$16),1)</f>
        <v>3</v>
      </c>
      <c r="Q16" s="226">
        <f>CEILING(100/('Damage @Range(Armor)'!P16*'Raw Values'!$O$16),1)</f>
        <v>4</v>
      </c>
      <c r="R16" s="226">
        <f>CEILING(100/('Damage @Range(Armor)'!Q16*'Raw Values'!$O$16),1)</f>
        <v>4</v>
      </c>
      <c r="S16" s="226">
        <f>CEILING(100/('Damage @Range(Armor)'!R16*'Raw Values'!$O$16),1)</f>
        <v>5</v>
      </c>
      <c r="T16" s="226">
        <f>CEILING(100/('Damage @Range(Armor)'!S16*'Raw Values'!$O$16),1)</f>
        <v>5</v>
      </c>
      <c r="U16" s="226">
        <f>CEILING(100/('Damage @Range(Armor)'!T16*'Raw Values'!$O$16),1)</f>
        <v>6</v>
      </c>
      <c r="V16" s="234"/>
      <c r="W16" s="235"/>
      <c r="X16" s="235"/>
      <c r="Y16" s="235"/>
      <c r="Z16" s="236"/>
      <c r="AA16" s="38" t="s">
        <v>286</v>
      </c>
      <c r="AB16" s="38" t="s">
        <v>286</v>
      </c>
      <c r="AC16" s="15">
        <f>SUM((L16-1)*'Raw Values'!F16)</f>
        <v>0.85</v>
      </c>
      <c r="AD16" s="15">
        <f>SUM((R16-1)*'Raw Values'!F16)</f>
        <v>2.5499999999999998</v>
      </c>
    </row>
    <row r="17" spans="1:30" ht="15.75" customHeight="1" x14ac:dyDescent="0.15">
      <c r="A17" s="9" t="s">
        <v>157</v>
      </c>
      <c r="B17" s="212">
        <f>'Raw Values'!B17</f>
        <v>1.6</v>
      </c>
      <c r="C17" s="18">
        <f>'Raw Values'!C17</f>
        <v>20</v>
      </c>
      <c r="D17" s="15">
        <f>'Raw Values'!D17</f>
        <v>0.7</v>
      </c>
      <c r="E17" s="15">
        <f>'Raw Values'!F17</f>
        <v>0.35</v>
      </c>
      <c r="F17" s="176"/>
      <c r="G17" s="226">
        <f>CEILING(100/('Damage @Range(Armor)'!F17*'Raw Values'!$O$17),1)</f>
        <v>2</v>
      </c>
      <c r="H17" s="226">
        <f>CEILING(100/('Damage @Range(Armor)'!G17*'Raw Values'!$O$17),1)</f>
        <v>2</v>
      </c>
      <c r="I17" s="226">
        <f>CEILING(100/('Damage @Range(Armor)'!H17*'Raw Values'!$O$17),1)</f>
        <v>2</v>
      </c>
      <c r="J17" s="226">
        <f>CEILING(100/('Damage @Range(Armor)'!I17*'Raw Values'!$O$17),1)</f>
        <v>2</v>
      </c>
      <c r="K17" s="226">
        <f>CEILING(100/('Damage @Range(Armor)'!J17*'Raw Values'!$O$17),1)</f>
        <v>2</v>
      </c>
      <c r="L17" s="226">
        <f>CEILING(100/('Damage @Range(Armor)'!K17*'Raw Values'!$O$17),1)</f>
        <v>2</v>
      </c>
      <c r="M17" s="226">
        <f>CEILING(100/('Damage @Range(Armor)'!L17*'Raw Values'!$O$17),1)</f>
        <v>2</v>
      </c>
      <c r="N17" s="226">
        <f>CEILING(100/('Damage @Range(Armor)'!M17*'Raw Values'!$O$17),1)</f>
        <v>2</v>
      </c>
      <c r="O17" s="226">
        <f>CEILING(100/('Damage @Range(Armor)'!N17*'Raw Values'!$O$17),1)</f>
        <v>2</v>
      </c>
      <c r="P17" s="226">
        <f>CEILING(100/('Damage @Range(Armor)'!O17*'Raw Values'!$O$17),1)</f>
        <v>3</v>
      </c>
      <c r="Q17" s="226">
        <f>CEILING(100/('Damage @Range(Armor)'!P17*'Raw Values'!$O$17),1)</f>
        <v>3</v>
      </c>
      <c r="R17" s="226">
        <f>CEILING(100/('Damage @Range(Armor)'!Q17*'Raw Values'!$O$17),1)</f>
        <v>3</v>
      </c>
      <c r="S17" s="226">
        <f>CEILING(100/('Damage @Range(Armor)'!R17*'Raw Values'!$O$17),1)</f>
        <v>3</v>
      </c>
      <c r="T17" s="226">
        <f>CEILING(100/('Damage @Range(Armor)'!S17*'Raw Values'!$O$17),1)</f>
        <v>3</v>
      </c>
      <c r="U17" s="226">
        <f>CEILING(100/('Damage @Range(Armor)'!T17*'Raw Values'!$O$17),1)</f>
        <v>4</v>
      </c>
      <c r="V17" s="234"/>
      <c r="W17" s="235"/>
      <c r="X17" s="235"/>
      <c r="Y17" s="235"/>
      <c r="Z17" s="236"/>
      <c r="AA17" s="15">
        <f>SUM((G17-1)*'Raw Values'!F17)</f>
        <v>0.35</v>
      </c>
      <c r="AB17" s="15">
        <f>SUM((I17-1)*'Raw Values'!F17)</f>
        <v>0.35</v>
      </c>
      <c r="AC17" s="15">
        <f>SUM((L17-1)*'Raw Values'!F17)</f>
        <v>0.35</v>
      </c>
      <c r="AD17" s="15">
        <f>SUM((R17-1)*'Raw Values'!F17)</f>
        <v>0.7</v>
      </c>
    </row>
    <row r="18" spans="1:30" ht="15.75" customHeight="1" x14ac:dyDescent="0.15">
      <c r="A18" s="39"/>
      <c r="B18" s="98"/>
      <c r="C18" s="214"/>
      <c r="D18" s="41"/>
      <c r="E18" s="177"/>
      <c r="F18" s="179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9"/>
      <c r="W18" s="237"/>
      <c r="X18" s="237"/>
      <c r="Y18" s="237"/>
      <c r="Z18" s="179"/>
      <c r="AA18" s="41"/>
      <c r="AB18" s="41"/>
      <c r="AC18" s="41"/>
      <c r="AD18" s="41"/>
    </row>
    <row r="19" spans="1:30" ht="15.75" customHeight="1" x14ac:dyDescent="0.15">
      <c r="A19" s="1" t="s">
        <v>59</v>
      </c>
      <c r="B19" s="66" t="s">
        <v>262</v>
      </c>
      <c r="C19" s="210" t="s">
        <v>3</v>
      </c>
      <c r="D19" s="4" t="s">
        <v>93</v>
      </c>
      <c r="E19" s="69" t="s">
        <v>95</v>
      </c>
      <c r="F19" s="204"/>
      <c r="G19" s="223" t="s">
        <v>264</v>
      </c>
      <c r="H19" s="223" t="s">
        <v>265</v>
      </c>
      <c r="I19" s="223" t="s">
        <v>266</v>
      </c>
      <c r="J19" s="223" t="s">
        <v>267</v>
      </c>
      <c r="K19" s="223" t="s">
        <v>268</v>
      </c>
      <c r="L19" s="223" t="s">
        <v>269</v>
      </c>
      <c r="M19" s="223" t="s">
        <v>270</v>
      </c>
      <c r="N19" s="223" t="s">
        <v>271</v>
      </c>
      <c r="O19" s="223" t="s">
        <v>272</v>
      </c>
      <c r="P19" s="223" t="s">
        <v>273</v>
      </c>
      <c r="Q19" s="223" t="s">
        <v>274</v>
      </c>
      <c r="R19" s="223" t="s">
        <v>275</v>
      </c>
      <c r="S19" s="223" t="s">
        <v>276</v>
      </c>
      <c r="T19" s="223" t="s">
        <v>277</v>
      </c>
      <c r="U19" s="223" t="s">
        <v>278</v>
      </c>
      <c r="V19" s="224"/>
      <c r="W19" s="225" t="s">
        <v>279</v>
      </c>
      <c r="X19" s="225" t="s">
        <v>280</v>
      </c>
      <c r="Y19" s="225" t="s">
        <v>281</v>
      </c>
      <c r="Z19" s="174"/>
      <c r="AA19" s="4" t="s">
        <v>282</v>
      </c>
      <c r="AB19" s="4" t="s">
        <v>283</v>
      </c>
      <c r="AC19" s="4" t="s">
        <v>284</v>
      </c>
      <c r="AD19" s="4" t="s">
        <v>285</v>
      </c>
    </row>
    <row r="20" spans="1:30" ht="15.75" customHeight="1" x14ac:dyDescent="0.15">
      <c r="A20" s="9" t="s">
        <v>158</v>
      </c>
      <c r="B20" s="212">
        <f>'Raw Values'!B20</f>
        <v>1.26</v>
      </c>
      <c r="C20" s="18">
        <f>'Raw Values'!C20</f>
        <v>27</v>
      </c>
      <c r="D20" s="15">
        <f>'Raw Values'!D20</f>
        <v>0.8</v>
      </c>
      <c r="E20" s="15">
        <f>'Raw Values'!F20</f>
        <v>0.08</v>
      </c>
      <c r="F20" s="176"/>
      <c r="G20" s="226">
        <f>CEILING(100/('Damage @Range(Armor)'!F20),1)</f>
        <v>7</v>
      </c>
      <c r="H20" s="226">
        <f>CEILING(100/('Damage @Range(Armor)'!G20),1)</f>
        <v>7</v>
      </c>
      <c r="I20" s="226">
        <f>CEILING(100/('Damage @Range(Armor)'!H20),1)</f>
        <v>7</v>
      </c>
      <c r="J20" s="226">
        <f>CEILING(100/('Damage @Range(Armor)'!I20),1)</f>
        <v>8</v>
      </c>
      <c r="K20" s="226">
        <f>CEILING(100/('Damage @Range(Armor)'!J20),1)</f>
        <v>8</v>
      </c>
      <c r="L20" s="226">
        <f>CEILING(100/('Damage @Range(Armor)'!K20),1)</f>
        <v>8</v>
      </c>
      <c r="M20" s="226">
        <f>CEILING(100/('Damage @Range(Armor)'!L20),1)</f>
        <v>9</v>
      </c>
      <c r="N20" s="226">
        <f>CEILING(100/('Damage @Range(Armor)'!M20),1)</f>
        <v>9</v>
      </c>
      <c r="O20" s="226">
        <f>CEILING(100/('Damage @Range(Armor)'!N20),1)</f>
        <v>9</v>
      </c>
      <c r="P20" s="226">
        <f>CEILING(100/('Damage @Range(Armor)'!O20),1)</f>
        <v>10</v>
      </c>
      <c r="Q20" s="226">
        <f>CEILING(100/('Damage @Range(Armor)'!P20),1)</f>
        <v>10</v>
      </c>
      <c r="R20" s="226">
        <f>CEILING(100/('Damage @Range(Armor)'!Q20),1)</f>
        <v>11</v>
      </c>
      <c r="S20" s="226">
        <f>CEILING(100/('Damage @Range(Armor)'!R20),1)</f>
        <v>11</v>
      </c>
      <c r="T20" s="226">
        <f>CEILING(100/('Damage @Range(Armor)'!S20),1)</f>
        <v>11</v>
      </c>
      <c r="U20" s="226">
        <f>CEILING(100/('Damage @Range(Armor)'!T20),1)</f>
        <v>12</v>
      </c>
      <c r="V20" s="227"/>
      <c r="W20" s="226">
        <f>CEILING(100/('Damage @Range(Armor)'!V20),1)</f>
        <v>15</v>
      </c>
      <c r="X20" s="226">
        <f>CEILING(100/('Damage @Range(Armor)'!W20),1)</f>
        <v>18</v>
      </c>
      <c r="Y20" s="226">
        <f>CEILING(100/('Damage @Range(Armor)'!X20),1)</f>
        <v>23</v>
      </c>
      <c r="Z20" s="176"/>
      <c r="AA20" s="15">
        <f>SUM((G20-1)*'Raw Values'!F20)</f>
        <v>0.48</v>
      </c>
      <c r="AB20" s="15">
        <f>SUM((I20-1)*'Raw Values'!F20)</f>
        <v>0.48</v>
      </c>
      <c r="AC20" s="15">
        <f>SUM((L20-1)*'Raw Values'!F20)</f>
        <v>0.56000000000000005</v>
      </c>
      <c r="AD20" s="15">
        <f>SUM((R20-1)*'Raw Values'!F20)</f>
        <v>0.8</v>
      </c>
    </row>
    <row r="21" spans="1:30" ht="15.75" customHeight="1" x14ac:dyDescent="0.15">
      <c r="A21" s="36" t="s">
        <v>160</v>
      </c>
      <c r="B21" s="212">
        <f>'Raw Values'!B21</f>
        <v>1.1499999999999999</v>
      </c>
      <c r="C21" s="18">
        <f>'Raw Values'!C21</f>
        <v>29</v>
      </c>
      <c r="D21" s="15">
        <f>'Raw Values'!D21</f>
        <v>0.8</v>
      </c>
      <c r="E21" s="15">
        <f>'Raw Values'!F21</f>
        <v>7.4999999999999997E-2</v>
      </c>
      <c r="F21" s="176"/>
      <c r="G21" s="226">
        <f>CEILING(100/('Damage @Range(Armor)'!F21),1)</f>
        <v>7</v>
      </c>
      <c r="H21" s="226">
        <f>CEILING(100/('Damage @Range(Armor)'!G21),1)</f>
        <v>7</v>
      </c>
      <c r="I21" s="226">
        <f>CEILING(100/('Damage @Range(Armor)'!H21),1)</f>
        <v>7</v>
      </c>
      <c r="J21" s="226">
        <f>CEILING(100/('Damage @Range(Armor)'!I21),1)</f>
        <v>8</v>
      </c>
      <c r="K21" s="226">
        <f>CEILING(100/('Damage @Range(Armor)'!J21),1)</f>
        <v>8</v>
      </c>
      <c r="L21" s="226">
        <f>CEILING(100/('Damage @Range(Armor)'!K21),1)</f>
        <v>8</v>
      </c>
      <c r="M21" s="226">
        <f>CEILING(100/('Damage @Range(Armor)'!L21),1)</f>
        <v>9</v>
      </c>
      <c r="N21" s="226">
        <f>CEILING(100/('Damage @Range(Armor)'!M21),1)</f>
        <v>9</v>
      </c>
      <c r="O21" s="226">
        <f>CEILING(100/('Damage @Range(Armor)'!N21),1)</f>
        <v>9</v>
      </c>
      <c r="P21" s="226">
        <f>CEILING(100/('Damage @Range(Armor)'!O21),1)</f>
        <v>10</v>
      </c>
      <c r="Q21" s="226">
        <f>CEILING(100/('Damage @Range(Armor)'!P21),1)</f>
        <v>10</v>
      </c>
      <c r="R21" s="226">
        <f>CEILING(100/('Damage @Range(Armor)'!Q21),1)</f>
        <v>11</v>
      </c>
      <c r="S21" s="226">
        <f>CEILING(100/('Damage @Range(Armor)'!R21),1)</f>
        <v>11</v>
      </c>
      <c r="T21" s="226">
        <f>CEILING(100/('Damage @Range(Armor)'!S21),1)</f>
        <v>12</v>
      </c>
      <c r="U21" s="226">
        <f>CEILING(100/('Damage @Range(Armor)'!T21),1)</f>
        <v>12</v>
      </c>
      <c r="V21" s="227"/>
      <c r="W21" s="226">
        <f>CEILING(100/('Damage @Range(Armor)'!V21),1)</f>
        <v>15</v>
      </c>
      <c r="X21" s="226">
        <f>CEILING(100/('Damage @Range(Armor)'!W21),1)</f>
        <v>19</v>
      </c>
      <c r="Y21" s="226">
        <f>CEILING(100/('Damage @Range(Armor)'!X21),1)</f>
        <v>23</v>
      </c>
      <c r="Z21" s="176"/>
      <c r="AA21" s="15">
        <f>SUM((G21-1)*'Raw Values'!F21)</f>
        <v>0.44999999999999996</v>
      </c>
      <c r="AB21" s="15">
        <f>SUM((I21-1)*'Raw Values'!F21)</f>
        <v>0.44999999999999996</v>
      </c>
      <c r="AC21" s="15">
        <f>SUM((L21-1)*'Raw Values'!F21)</f>
        <v>0.52500000000000002</v>
      </c>
      <c r="AD21" s="15">
        <f>SUM((R21-1)*'Raw Values'!F21)</f>
        <v>0.75</v>
      </c>
    </row>
    <row r="22" spans="1:30" ht="15.75" customHeight="1" x14ac:dyDescent="0.15">
      <c r="A22" s="9" t="s">
        <v>161</v>
      </c>
      <c r="B22" s="212">
        <f>'Raw Values'!B22</f>
        <v>1.25</v>
      </c>
      <c r="C22" s="18">
        <f>'Raw Values'!C22</f>
        <v>29</v>
      </c>
      <c r="D22" s="15">
        <f>'Raw Values'!D22</f>
        <v>0.85</v>
      </c>
      <c r="E22" s="15">
        <f>'Raw Values'!F22</f>
        <v>0.08</v>
      </c>
      <c r="F22" s="176"/>
      <c r="G22" s="226">
        <f>CEILING(100/('Damage @Range(Armor)'!F22),1)</f>
        <v>6</v>
      </c>
      <c r="H22" s="226">
        <f>CEILING(100/('Damage @Range(Armor)'!G22),1)</f>
        <v>6</v>
      </c>
      <c r="I22" s="226">
        <f>CEILING(100/('Damage @Range(Armor)'!H22),1)</f>
        <v>7</v>
      </c>
      <c r="J22" s="226">
        <f>CEILING(100/('Damage @Range(Armor)'!I22),1)</f>
        <v>7</v>
      </c>
      <c r="K22" s="226">
        <f>CEILING(100/('Damage @Range(Armor)'!J22),1)</f>
        <v>7</v>
      </c>
      <c r="L22" s="226">
        <f>CEILING(100/('Damage @Range(Armor)'!K22),1)</f>
        <v>7</v>
      </c>
      <c r="M22" s="226">
        <f>CEILING(100/('Damage @Range(Armor)'!L22),1)</f>
        <v>7</v>
      </c>
      <c r="N22" s="226">
        <f>CEILING(100/('Damage @Range(Armor)'!M22),1)</f>
        <v>8</v>
      </c>
      <c r="O22" s="226">
        <f>CEILING(100/('Damage @Range(Armor)'!N22),1)</f>
        <v>8</v>
      </c>
      <c r="P22" s="226">
        <f>CEILING(100/('Damage @Range(Armor)'!O22),1)</f>
        <v>8</v>
      </c>
      <c r="Q22" s="226">
        <f>CEILING(100/('Damage @Range(Armor)'!P22),1)</f>
        <v>8</v>
      </c>
      <c r="R22" s="226">
        <f>CEILING(100/('Damage @Range(Armor)'!Q22),1)</f>
        <v>9</v>
      </c>
      <c r="S22" s="226">
        <f>CEILING(100/('Damage @Range(Armor)'!R22),1)</f>
        <v>9</v>
      </c>
      <c r="T22" s="226">
        <f>CEILING(100/('Damage @Range(Armor)'!S22),1)</f>
        <v>9</v>
      </c>
      <c r="U22" s="226">
        <f>CEILING(100/('Damage @Range(Armor)'!T22),1)</f>
        <v>9</v>
      </c>
      <c r="V22" s="227"/>
      <c r="W22" s="226">
        <f>CEILING(100/('Damage @Range(Armor)'!V22),1)</f>
        <v>11</v>
      </c>
      <c r="X22" s="226">
        <f>CEILING(100/('Damage @Range(Armor)'!W22),1)</f>
        <v>13</v>
      </c>
      <c r="Y22" s="226">
        <f>CEILING(100/('Damage @Range(Armor)'!X22),1)</f>
        <v>15</v>
      </c>
      <c r="Z22" s="176"/>
      <c r="AA22" s="15">
        <f>SUM((G22-1)*'Raw Values'!F22)</f>
        <v>0.4</v>
      </c>
      <c r="AB22" s="15">
        <f>SUM((I22-1)*'Raw Values'!F22)</f>
        <v>0.48</v>
      </c>
      <c r="AC22" s="15">
        <f>SUM((L22-1)*'Raw Values'!F22)</f>
        <v>0.48</v>
      </c>
      <c r="AD22" s="15">
        <f>SUM((R22-1)*'Raw Values'!F22)</f>
        <v>0.64</v>
      </c>
    </row>
    <row r="23" spans="1:30" ht="15.75" customHeight="1" x14ac:dyDescent="0.15">
      <c r="A23" s="53" t="s">
        <v>162</v>
      </c>
      <c r="B23" s="212">
        <f>'Raw Values'!B23</f>
        <v>1.25</v>
      </c>
      <c r="C23" s="18">
        <f>'Raw Values'!C23</f>
        <v>27</v>
      </c>
      <c r="D23" s="15">
        <f>'Raw Values'!D23</f>
        <v>0.85</v>
      </c>
      <c r="E23" s="15">
        <f>'Raw Values'!F23</f>
        <v>0.08</v>
      </c>
      <c r="F23" s="176"/>
      <c r="G23" s="226">
        <f>CEILING(100/('Damage @Range(Armor)'!F23),1)</f>
        <v>7</v>
      </c>
      <c r="H23" s="226">
        <f>CEILING(100/('Damage @Range(Armor)'!G23),1)</f>
        <v>7</v>
      </c>
      <c r="I23" s="226">
        <f>CEILING(100/('Damage @Range(Armor)'!H23),1)</f>
        <v>7</v>
      </c>
      <c r="J23" s="226">
        <f>CEILING(100/('Damage @Range(Armor)'!I23),1)</f>
        <v>7</v>
      </c>
      <c r="K23" s="226">
        <f>CEILING(100/('Damage @Range(Armor)'!J23),1)</f>
        <v>7</v>
      </c>
      <c r="L23" s="226">
        <f>CEILING(100/('Damage @Range(Armor)'!K23),1)</f>
        <v>8</v>
      </c>
      <c r="M23" s="226">
        <f>CEILING(100/('Damage @Range(Armor)'!L23),1)</f>
        <v>8</v>
      </c>
      <c r="N23" s="226">
        <f>CEILING(100/('Damage @Range(Armor)'!M23),1)</f>
        <v>8</v>
      </c>
      <c r="O23" s="226">
        <f>CEILING(100/('Damage @Range(Armor)'!N23),1)</f>
        <v>8</v>
      </c>
      <c r="P23" s="226">
        <f>CEILING(100/('Damage @Range(Armor)'!O23),1)</f>
        <v>9</v>
      </c>
      <c r="Q23" s="226">
        <f>CEILING(100/('Damage @Range(Armor)'!P23),1)</f>
        <v>9</v>
      </c>
      <c r="R23" s="226">
        <f>CEILING(100/('Damage @Range(Armor)'!Q23),1)</f>
        <v>9</v>
      </c>
      <c r="S23" s="226">
        <f>CEILING(100/('Damage @Range(Armor)'!R23),1)</f>
        <v>10</v>
      </c>
      <c r="T23" s="226">
        <f>CEILING(100/('Damage @Range(Armor)'!S23),1)</f>
        <v>10</v>
      </c>
      <c r="U23" s="226">
        <f>CEILING(100/('Damage @Range(Armor)'!T23),1)</f>
        <v>10</v>
      </c>
      <c r="V23" s="227"/>
      <c r="W23" s="226">
        <f>CEILING(100/('Damage @Range(Armor)'!V23),1)</f>
        <v>12</v>
      </c>
      <c r="X23" s="226">
        <f>CEILING(100/('Damage @Range(Armor)'!W23),1)</f>
        <v>14</v>
      </c>
      <c r="Y23" s="226">
        <f>CEILING(100/('Damage @Range(Armor)'!X23),1)</f>
        <v>16</v>
      </c>
      <c r="Z23" s="176"/>
      <c r="AA23" s="15">
        <f>SUM((G23-1)*'Raw Values'!F23)</f>
        <v>0.48</v>
      </c>
      <c r="AB23" s="15">
        <f>SUM((I23-1)*'Raw Values'!F23)</f>
        <v>0.48</v>
      </c>
      <c r="AC23" s="15">
        <f>SUM((L23-1)*'Raw Values'!F23)</f>
        <v>0.56000000000000005</v>
      </c>
      <c r="AD23" s="15">
        <f>SUM((R23-1)*'Raw Values'!F23)</f>
        <v>0.64</v>
      </c>
    </row>
    <row r="24" spans="1:30" ht="15.75" customHeight="1" x14ac:dyDescent="0.15">
      <c r="A24" s="35" t="s">
        <v>163</v>
      </c>
      <c r="B24" s="212">
        <f>'Raw Values'!B24</f>
        <v>1.2</v>
      </c>
      <c r="C24" s="18">
        <f>'Raw Values'!C24</f>
        <v>26</v>
      </c>
      <c r="D24" s="15">
        <f>'Raw Values'!D24</f>
        <v>0.87</v>
      </c>
      <c r="E24" s="15">
        <f>'Raw Values'!F24</f>
        <v>7.0000000000000007E-2</v>
      </c>
      <c r="F24" s="176"/>
      <c r="G24" s="226">
        <f>CEILING(100/('Damage @Range(Armor)'!F24),1)</f>
        <v>7</v>
      </c>
      <c r="H24" s="226">
        <f>CEILING(100/('Damage @Range(Armor)'!G24),1)</f>
        <v>7</v>
      </c>
      <c r="I24" s="226">
        <f>CEILING(100/('Damage @Range(Armor)'!H24),1)</f>
        <v>7</v>
      </c>
      <c r="J24" s="226">
        <f>CEILING(100/('Damage @Range(Armor)'!I24),1)</f>
        <v>8</v>
      </c>
      <c r="K24" s="226">
        <f>CEILING(100/('Damage @Range(Armor)'!J24),1)</f>
        <v>8</v>
      </c>
      <c r="L24" s="226">
        <f>CEILING(100/('Damage @Range(Armor)'!K24),1)</f>
        <v>8</v>
      </c>
      <c r="M24" s="226">
        <f>CEILING(100/('Damage @Range(Armor)'!L24),1)</f>
        <v>8</v>
      </c>
      <c r="N24" s="226">
        <f>CEILING(100/('Damage @Range(Armor)'!M24),1)</f>
        <v>9</v>
      </c>
      <c r="O24" s="226">
        <f>CEILING(100/('Damage @Range(Armor)'!N24),1)</f>
        <v>9</v>
      </c>
      <c r="P24" s="226">
        <f>CEILING(100/('Damage @Range(Armor)'!O24),1)</f>
        <v>9</v>
      </c>
      <c r="Q24" s="226">
        <f>CEILING(100/('Damage @Range(Armor)'!P24),1)</f>
        <v>9</v>
      </c>
      <c r="R24" s="226">
        <f>CEILING(100/('Damage @Range(Armor)'!Q24),1)</f>
        <v>9</v>
      </c>
      <c r="S24" s="226">
        <f>CEILING(100/('Damage @Range(Armor)'!R24),1)</f>
        <v>10</v>
      </c>
      <c r="T24" s="226">
        <f>CEILING(100/('Damage @Range(Armor)'!S24),1)</f>
        <v>10</v>
      </c>
      <c r="U24" s="226">
        <f>CEILING(100/('Damage @Range(Armor)'!T24),1)</f>
        <v>10</v>
      </c>
      <c r="V24" s="227"/>
      <c r="W24" s="226">
        <f>CEILING(100/('Damage @Range(Armor)'!V24),1)</f>
        <v>12</v>
      </c>
      <c r="X24" s="226">
        <f>CEILING(100/('Damage @Range(Armor)'!W24),1)</f>
        <v>13</v>
      </c>
      <c r="Y24" s="226">
        <f>CEILING(100/('Damage @Range(Armor)'!X24),1)</f>
        <v>15</v>
      </c>
      <c r="Z24" s="176"/>
      <c r="AA24" s="15">
        <f>SUM((G24-1)*'Raw Values'!F24)</f>
        <v>0.42000000000000004</v>
      </c>
      <c r="AB24" s="15">
        <f>SUM((I24-1)*'Raw Values'!F24)</f>
        <v>0.42000000000000004</v>
      </c>
      <c r="AC24" s="15">
        <f>SUM((L24-1)*'Raw Values'!F24)</f>
        <v>0.49000000000000005</v>
      </c>
      <c r="AD24" s="15">
        <f>SUM((R24-1)*'Raw Values'!F24)</f>
        <v>0.56000000000000005</v>
      </c>
    </row>
    <row r="25" spans="1:30" ht="15.75" customHeight="1" x14ac:dyDescent="0.15">
      <c r="A25" s="9" t="s">
        <v>164</v>
      </c>
      <c r="B25" s="212">
        <f>'Raw Values'!B25</f>
        <v>1.38</v>
      </c>
      <c r="C25" s="18">
        <f>'Raw Values'!C25</f>
        <v>26</v>
      </c>
      <c r="D25" s="15">
        <f>'Raw Values'!D25</f>
        <v>0.86</v>
      </c>
      <c r="E25" s="15">
        <f>'Raw Values'!F25</f>
        <v>7.0000000000000007E-2</v>
      </c>
      <c r="F25" s="176"/>
      <c r="G25" s="226">
        <f>CEILING(100/('Damage @Range(Armor)'!F25),1)</f>
        <v>6</v>
      </c>
      <c r="H25" s="226">
        <f>CEILING(100/('Damage @Range(Armor)'!G25),1)</f>
        <v>6</v>
      </c>
      <c r="I25" s="226">
        <f>CEILING(100/('Damage @Range(Armor)'!H25),1)</f>
        <v>7</v>
      </c>
      <c r="J25" s="226">
        <f>CEILING(100/('Damage @Range(Armor)'!I25),1)</f>
        <v>7</v>
      </c>
      <c r="K25" s="226">
        <f>CEILING(100/('Damage @Range(Armor)'!J25),1)</f>
        <v>7</v>
      </c>
      <c r="L25" s="226">
        <f>CEILING(100/('Damage @Range(Armor)'!K25),1)</f>
        <v>7</v>
      </c>
      <c r="M25" s="226">
        <f>CEILING(100/('Damage @Range(Armor)'!L25),1)</f>
        <v>7</v>
      </c>
      <c r="N25" s="226">
        <f>CEILING(100/('Damage @Range(Armor)'!M25),1)</f>
        <v>8</v>
      </c>
      <c r="O25" s="226">
        <f>CEILING(100/('Damage @Range(Armor)'!N25),1)</f>
        <v>8</v>
      </c>
      <c r="P25" s="226">
        <f>CEILING(100/('Damage @Range(Armor)'!O25),1)</f>
        <v>8</v>
      </c>
      <c r="Q25" s="226">
        <f>CEILING(100/('Damage @Range(Armor)'!P25),1)</f>
        <v>8</v>
      </c>
      <c r="R25" s="226">
        <f>CEILING(100/('Damage @Range(Armor)'!Q25),1)</f>
        <v>9</v>
      </c>
      <c r="S25" s="226">
        <f>CEILING(100/('Damage @Range(Armor)'!R25),1)</f>
        <v>9</v>
      </c>
      <c r="T25" s="226">
        <f>CEILING(100/('Damage @Range(Armor)'!S25),1)</f>
        <v>9</v>
      </c>
      <c r="U25" s="226">
        <f>CEILING(100/('Damage @Range(Armor)'!T25),1)</f>
        <v>9</v>
      </c>
      <c r="V25" s="227"/>
      <c r="W25" s="226">
        <f>CEILING(100/('Damage @Range(Armor)'!V25),1)</f>
        <v>11</v>
      </c>
      <c r="X25" s="226">
        <f>CEILING(100/('Damage @Range(Armor)'!W25),1)</f>
        <v>12</v>
      </c>
      <c r="Y25" s="226">
        <f>CEILING(100/('Damage @Range(Armor)'!X25),1)</f>
        <v>14</v>
      </c>
      <c r="Z25" s="176"/>
      <c r="AA25" s="15">
        <f>SUM((G25-1)*'Raw Values'!F25)</f>
        <v>0.35000000000000003</v>
      </c>
      <c r="AB25" s="15">
        <f>SUM((I25-1)*'Raw Values'!F25)</f>
        <v>0.42000000000000004</v>
      </c>
      <c r="AC25" s="15">
        <f>SUM((L25-1)*'Raw Values'!F25)</f>
        <v>0.42000000000000004</v>
      </c>
      <c r="AD25" s="15">
        <f>SUM((R25-1)*'Raw Values'!F25)</f>
        <v>0.56000000000000005</v>
      </c>
    </row>
    <row r="26" spans="1:30" ht="15.75" customHeight="1" x14ac:dyDescent="0.15">
      <c r="A26" s="9" t="s">
        <v>165</v>
      </c>
      <c r="B26" s="212">
        <f>'Raw Values'!B26</f>
        <v>1.3</v>
      </c>
      <c r="C26" s="18">
        <f>'Raw Values'!C26</f>
        <v>35</v>
      </c>
      <c r="D26" s="15">
        <f>'Raw Values'!D26</f>
        <v>0.75</v>
      </c>
      <c r="E26" s="15">
        <f>'Raw Values'!F26</f>
        <v>0.09</v>
      </c>
      <c r="F26" s="176"/>
      <c r="G26" s="226">
        <f>CEILING(100/('Damage @Range(Armor)'!F26),1)</f>
        <v>5</v>
      </c>
      <c r="H26" s="226">
        <f>CEILING(100/('Damage @Range(Armor)'!G26),1)</f>
        <v>5</v>
      </c>
      <c r="I26" s="226">
        <f>CEILING(100/('Damage @Range(Armor)'!H26),1)</f>
        <v>6</v>
      </c>
      <c r="J26" s="226">
        <f>CEILING(100/('Damage @Range(Armor)'!I26),1)</f>
        <v>6</v>
      </c>
      <c r="K26" s="226">
        <f>CEILING(100/('Damage @Range(Armor)'!J26),1)</f>
        <v>6</v>
      </c>
      <c r="L26" s="226">
        <f>CEILING(100/('Damage @Range(Armor)'!K26),1)</f>
        <v>7</v>
      </c>
      <c r="M26" s="226">
        <f>CEILING(100/('Damage @Range(Armor)'!L26),1)</f>
        <v>7</v>
      </c>
      <c r="N26" s="226">
        <f>CEILING(100/('Damage @Range(Armor)'!M26),1)</f>
        <v>7</v>
      </c>
      <c r="O26" s="226">
        <f>CEILING(100/('Damage @Range(Armor)'!N26),1)</f>
        <v>8</v>
      </c>
      <c r="P26" s="226">
        <f>CEILING(100/('Damage @Range(Armor)'!O26),1)</f>
        <v>8</v>
      </c>
      <c r="Q26" s="226">
        <f>CEILING(100/('Damage @Range(Armor)'!P26),1)</f>
        <v>9</v>
      </c>
      <c r="R26" s="226">
        <f>CEILING(100/('Damage @Range(Armor)'!Q26),1)</f>
        <v>9</v>
      </c>
      <c r="S26" s="226">
        <f>CEILING(100/('Damage @Range(Armor)'!R26),1)</f>
        <v>10</v>
      </c>
      <c r="T26" s="226">
        <f>CEILING(100/('Damage @Range(Armor)'!S26),1)</f>
        <v>10</v>
      </c>
      <c r="U26" s="226">
        <f>CEILING(100/('Damage @Range(Armor)'!T26),1)</f>
        <v>11</v>
      </c>
      <c r="V26" s="227"/>
      <c r="W26" s="226">
        <f>CEILING(100/('Damage @Range(Armor)'!V26),1)</f>
        <v>14</v>
      </c>
      <c r="X26" s="226">
        <f>CEILING(100/('Damage @Range(Armor)'!W26),1)</f>
        <v>19</v>
      </c>
      <c r="Y26" s="226">
        <f>CEILING(100/('Damage @Range(Armor)'!X26),1)</f>
        <v>25</v>
      </c>
      <c r="Z26" s="176"/>
      <c r="AA26" s="15">
        <f>SUM((G26-1)*'Raw Values'!F26)</f>
        <v>0.36</v>
      </c>
      <c r="AB26" s="15">
        <f>SUM((I26-1)*'Raw Values'!F26)</f>
        <v>0.44999999999999996</v>
      </c>
      <c r="AC26" s="15">
        <f>SUM((L26-1)*'Raw Values'!F26)</f>
        <v>0.54</v>
      </c>
      <c r="AD26" s="15">
        <f>SUM((R26-1)*'Raw Values'!F26)</f>
        <v>0.72</v>
      </c>
    </row>
    <row r="27" spans="1:30" ht="15.75" customHeight="1" x14ac:dyDescent="0.15">
      <c r="A27" s="39"/>
      <c r="B27" s="98"/>
      <c r="C27" s="214"/>
      <c r="D27" s="41"/>
      <c r="E27" s="177"/>
      <c r="F27" s="179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9"/>
      <c r="W27" s="228"/>
      <c r="X27" s="228"/>
      <c r="Y27" s="228"/>
      <c r="Z27" s="179"/>
      <c r="AA27" s="41"/>
      <c r="AB27" s="41"/>
      <c r="AC27" s="41"/>
      <c r="AD27" s="41"/>
    </row>
    <row r="28" spans="1:30" ht="15.75" customHeight="1" x14ac:dyDescent="0.15">
      <c r="A28" s="1" t="s">
        <v>68</v>
      </c>
      <c r="B28" s="66" t="s">
        <v>262</v>
      </c>
      <c r="C28" s="210" t="s">
        <v>3</v>
      </c>
      <c r="D28" s="4" t="s">
        <v>93</v>
      </c>
      <c r="E28" s="69" t="s">
        <v>95</v>
      </c>
      <c r="F28" s="204"/>
      <c r="G28" s="223" t="s">
        <v>264</v>
      </c>
      <c r="H28" s="223" t="s">
        <v>265</v>
      </c>
      <c r="I28" s="223" t="s">
        <v>266</v>
      </c>
      <c r="J28" s="223" t="s">
        <v>267</v>
      </c>
      <c r="K28" s="223" t="s">
        <v>268</v>
      </c>
      <c r="L28" s="223" t="s">
        <v>269</v>
      </c>
      <c r="M28" s="223" t="s">
        <v>270</v>
      </c>
      <c r="N28" s="223" t="s">
        <v>271</v>
      </c>
      <c r="O28" s="223" t="s">
        <v>272</v>
      </c>
      <c r="P28" s="223" t="s">
        <v>273</v>
      </c>
      <c r="Q28" s="223" t="s">
        <v>274</v>
      </c>
      <c r="R28" s="223" t="s">
        <v>275</v>
      </c>
      <c r="S28" s="223" t="s">
        <v>276</v>
      </c>
      <c r="T28" s="223" t="s">
        <v>277</v>
      </c>
      <c r="U28" s="223" t="s">
        <v>278</v>
      </c>
      <c r="V28" s="224"/>
      <c r="W28" s="225" t="s">
        <v>279</v>
      </c>
      <c r="X28" s="225" t="s">
        <v>280</v>
      </c>
      <c r="Y28" s="225" t="s">
        <v>281</v>
      </c>
      <c r="Z28" s="174"/>
      <c r="AA28" s="4" t="s">
        <v>282</v>
      </c>
      <c r="AB28" s="4" t="s">
        <v>283</v>
      </c>
      <c r="AC28" s="4" t="s">
        <v>284</v>
      </c>
      <c r="AD28" s="4" t="s">
        <v>285</v>
      </c>
    </row>
    <row r="29" spans="1:30" ht="15.75" customHeight="1" x14ac:dyDescent="0.15">
      <c r="A29" s="36" t="s">
        <v>166</v>
      </c>
      <c r="B29" s="212">
        <f>'Raw Values'!B29</f>
        <v>1.55</v>
      </c>
      <c r="C29" s="18">
        <f>'Raw Values'!C29</f>
        <v>36</v>
      </c>
      <c r="D29" s="15">
        <f>'Raw Values'!D29</f>
        <v>0.98</v>
      </c>
      <c r="E29" s="15">
        <f>'Raw Values'!F29</f>
        <v>0.1</v>
      </c>
      <c r="F29" s="176"/>
      <c r="G29" s="226">
        <f>CEILING(100/('Damage @Range(Armor)'!F29),1)</f>
        <v>4</v>
      </c>
      <c r="H29" s="226">
        <f>CEILING(100/('Damage @Range(Armor)'!G29),1)</f>
        <v>4</v>
      </c>
      <c r="I29" s="226">
        <f>CEILING(100/('Damage @Range(Armor)'!H29),1)</f>
        <v>4</v>
      </c>
      <c r="J29" s="226">
        <f>CEILING(100/('Damage @Range(Armor)'!I29),1)</f>
        <v>4</v>
      </c>
      <c r="K29" s="226">
        <f>CEILING(100/('Damage @Range(Armor)'!J29),1)</f>
        <v>4</v>
      </c>
      <c r="L29" s="226">
        <f>CEILING(100/('Damage @Range(Armor)'!K29),1)</f>
        <v>4</v>
      </c>
      <c r="M29" s="226">
        <f>CEILING(100/('Damage @Range(Armor)'!L29),1)</f>
        <v>4</v>
      </c>
      <c r="N29" s="226">
        <f>CEILING(100/('Damage @Range(Armor)'!M29),1)</f>
        <v>4</v>
      </c>
      <c r="O29" s="226">
        <f>CEILING(100/('Damage @Range(Armor)'!N29),1)</f>
        <v>4</v>
      </c>
      <c r="P29" s="226">
        <f>CEILING(100/('Damage @Range(Armor)'!O29),1)</f>
        <v>4</v>
      </c>
      <c r="Q29" s="226">
        <f>CEILING(100/('Damage @Range(Armor)'!P29),1)</f>
        <v>4</v>
      </c>
      <c r="R29" s="226">
        <f>CEILING(100/('Damage @Range(Armor)'!Q29),1)</f>
        <v>4</v>
      </c>
      <c r="S29" s="226">
        <f>CEILING(100/('Damage @Range(Armor)'!R29),1)</f>
        <v>4</v>
      </c>
      <c r="T29" s="226">
        <f>CEILING(100/('Damage @Range(Armor)'!S29),1)</f>
        <v>4</v>
      </c>
      <c r="U29" s="226">
        <f>CEILING(100/('Damage @Range(Armor)'!T29),1)</f>
        <v>4</v>
      </c>
      <c r="V29" s="227"/>
      <c r="W29" s="226">
        <f>CEILING(100/('Damage @Range(Armor)'!V29),1)</f>
        <v>4</v>
      </c>
      <c r="X29" s="226">
        <f>CEILING(100/('Damage @Range(Armor)'!W29),1)</f>
        <v>4</v>
      </c>
      <c r="Y29" s="226">
        <f>CEILING(100/('Damage @Range(Armor)'!X29),1)</f>
        <v>5</v>
      </c>
      <c r="Z29" s="176"/>
      <c r="AA29" s="15">
        <f>SUM((G29-1)*'Raw Values'!F29)</f>
        <v>0.30000000000000004</v>
      </c>
      <c r="AB29" s="15">
        <f>SUM((I29-1)*'Raw Values'!F29)</f>
        <v>0.30000000000000004</v>
      </c>
      <c r="AC29" s="15">
        <f>SUM((L29-1)*'Raw Values'!F29)</f>
        <v>0.30000000000000004</v>
      </c>
      <c r="AD29" s="15">
        <f>SUM((R29-1)*'Raw Values'!F29)</f>
        <v>0.30000000000000004</v>
      </c>
    </row>
    <row r="30" spans="1:30" ht="15.75" customHeight="1" x14ac:dyDescent="0.15">
      <c r="A30" s="35" t="s">
        <v>168</v>
      </c>
      <c r="B30" s="212">
        <f>'Raw Values'!B30</f>
        <v>1.8</v>
      </c>
      <c r="C30" s="18">
        <f>'Raw Values'!C30</f>
        <v>28</v>
      </c>
      <c r="D30" s="15">
        <f>'Raw Values'!D30</f>
        <v>0.98</v>
      </c>
      <c r="E30" s="15">
        <f>'Raw Values'!F30</f>
        <v>0.1</v>
      </c>
      <c r="F30" s="176"/>
      <c r="G30" s="226">
        <f>CEILING(100/('Damage @Range(Armor)'!F30),1)</f>
        <v>4</v>
      </c>
      <c r="H30" s="226">
        <f>CEILING(100/('Damage @Range(Armor)'!G30),1)</f>
        <v>5</v>
      </c>
      <c r="I30" s="226">
        <f>CEILING(100/('Damage @Range(Armor)'!H30),1)</f>
        <v>5</v>
      </c>
      <c r="J30" s="226">
        <f>CEILING(100/('Damage @Range(Armor)'!I30),1)</f>
        <v>5</v>
      </c>
      <c r="K30" s="226">
        <f>CEILING(100/('Damage @Range(Armor)'!J30),1)</f>
        <v>5</v>
      </c>
      <c r="L30" s="226">
        <f>CEILING(100/('Damage @Range(Armor)'!K30),1)</f>
        <v>5</v>
      </c>
      <c r="M30" s="226">
        <f>CEILING(100/('Damage @Range(Armor)'!L30),1)</f>
        <v>5</v>
      </c>
      <c r="N30" s="226">
        <f>CEILING(100/('Damage @Range(Armor)'!M30),1)</f>
        <v>5</v>
      </c>
      <c r="O30" s="226">
        <f>CEILING(100/('Damage @Range(Armor)'!N30),1)</f>
        <v>5</v>
      </c>
      <c r="P30" s="226">
        <f>CEILING(100/('Damage @Range(Armor)'!O30),1)</f>
        <v>5</v>
      </c>
      <c r="Q30" s="226">
        <f>CEILING(100/('Damage @Range(Armor)'!P30),1)</f>
        <v>5</v>
      </c>
      <c r="R30" s="226">
        <f>CEILING(100/('Damage @Range(Armor)'!Q30),1)</f>
        <v>5</v>
      </c>
      <c r="S30" s="226">
        <f>CEILING(100/('Damage @Range(Armor)'!R30),1)</f>
        <v>5</v>
      </c>
      <c r="T30" s="226">
        <f>CEILING(100/('Damage @Range(Armor)'!S30),1)</f>
        <v>5</v>
      </c>
      <c r="U30" s="226">
        <f>CEILING(100/('Damage @Range(Armor)'!T30),1)</f>
        <v>5</v>
      </c>
      <c r="V30" s="227"/>
      <c r="W30" s="226">
        <f>CEILING(100/('Damage @Range(Armor)'!V30),1)</f>
        <v>5</v>
      </c>
      <c r="X30" s="226">
        <f>CEILING(100/('Damage @Range(Armor)'!W30),1)</f>
        <v>5</v>
      </c>
      <c r="Y30" s="226">
        <f>CEILING(100/('Damage @Range(Armor)'!X30),1)</f>
        <v>5</v>
      </c>
      <c r="Z30" s="176"/>
      <c r="AA30" s="15">
        <f>SUM((G30-1)*'Raw Values'!F30)</f>
        <v>0.30000000000000004</v>
      </c>
      <c r="AB30" s="15">
        <f>SUM((I30-1)*'Raw Values'!F30)</f>
        <v>0.4</v>
      </c>
      <c r="AC30" s="15">
        <f>SUM((L30-1)*'Raw Values'!F30)</f>
        <v>0.4</v>
      </c>
      <c r="AD30" s="15">
        <f>SUM((R30-1)*'Raw Values'!F30)</f>
        <v>0.4</v>
      </c>
    </row>
    <row r="31" spans="1:30" ht="15.75" customHeight="1" x14ac:dyDescent="0.15">
      <c r="A31" s="35" t="s">
        <v>169</v>
      </c>
      <c r="B31" s="212">
        <f>'Raw Values'!B31</f>
        <v>1.4</v>
      </c>
      <c r="C31" s="18">
        <f>'Raw Values'!C31</f>
        <v>30</v>
      </c>
      <c r="D31" s="15">
        <f>'Raw Values'!D31</f>
        <v>0.96</v>
      </c>
      <c r="E31" s="15">
        <f>'Raw Values'!F31</f>
        <v>0.09</v>
      </c>
      <c r="F31" s="176"/>
      <c r="G31" s="226">
        <f>CEILING(100/('Damage @Range(Armor)'!F31),1)</f>
        <v>5</v>
      </c>
      <c r="H31" s="226">
        <f>CEILING(100/('Damage @Range(Armor)'!G31),1)</f>
        <v>5</v>
      </c>
      <c r="I31" s="226">
        <f>CEILING(100/('Damage @Range(Armor)'!H31),1)</f>
        <v>5</v>
      </c>
      <c r="J31" s="226">
        <f>CEILING(100/('Damage @Range(Armor)'!I31),1)</f>
        <v>5</v>
      </c>
      <c r="K31" s="226">
        <f>CEILING(100/('Damage @Range(Armor)'!J31),1)</f>
        <v>5</v>
      </c>
      <c r="L31" s="226">
        <f>CEILING(100/('Damage @Range(Armor)'!K31),1)</f>
        <v>6</v>
      </c>
      <c r="M31" s="226">
        <f>CEILING(100/('Damage @Range(Armor)'!L31),1)</f>
        <v>6</v>
      </c>
      <c r="N31" s="226">
        <f>CEILING(100/('Damage @Range(Armor)'!M31),1)</f>
        <v>6</v>
      </c>
      <c r="O31" s="226">
        <f>CEILING(100/('Damage @Range(Armor)'!N31),1)</f>
        <v>6</v>
      </c>
      <c r="P31" s="226">
        <f>CEILING(100/('Damage @Range(Armor)'!O31),1)</f>
        <v>6</v>
      </c>
      <c r="Q31" s="226">
        <f>CEILING(100/('Damage @Range(Armor)'!P31),1)</f>
        <v>6</v>
      </c>
      <c r="R31" s="226">
        <f>CEILING(100/('Damage @Range(Armor)'!Q31),1)</f>
        <v>6</v>
      </c>
      <c r="S31" s="226">
        <f>CEILING(100/('Damage @Range(Armor)'!R31),1)</f>
        <v>6</v>
      </c>
      <c r="T31" s="226">
        <f>CEILING(100/('Damage @Range(Armor)'!S31),1)</f>
        <v>6</v>
      </c>
      <c r="U31" s="226">
        <f>CEILING(100/('Damage @Range(Armor)'!T31),1)</f>
        <v>6</v>
      </c>
      <c r="V31" s="227"/>
      <c r="W31" s="226">
        <f>CEILING(100/('Damage @Range(Armor)'!V31),1)</f>
        <v>6</v>
      </c>
      <c r="X31" s="226">
        <f>CEILING(100/('Damage @Range(Armor)'!W31),1)</f>
        <v>6</v>
      </c>
      <c r="Y31" s="226">
        <f>CEILING(100/('Damage @Range(Armor)'!X31),1)</f>
        <v>7</v>
      </c>
      <c r="Z31" s="176"/>
      <c r="AA31" s="15">
        <f>SUM((G31-1)*'Raw Values'!F31)</f>
        <v>0.36</v>
      </c>
      <c r="AB31" s="15">
        <f>SUM((I31-1)*'Raw Values'!F31)</f>
        <v>0.36</v>
      </c>
      <c r="AC31" s="15">
        <f>SUM((L31-1)*'Raw Values'!F31)</f>
        <v>0.44999999999999996</v>
      </c>
      <c r="AD31" s="15">
        <f>SUM((R31-1)*'Raw Values'!F31)</f>
        <v>0.44999999999999996</v>
      </c>
    </row>
    <row r="32" spans="1:30" ht="15.75" customHeight="1" x14ac:dyDescent="0.15">
      <c r="A32" s="36" t="s">
        <v>170</v>
      </c>
      <c r="B32" s="212">
        <f>'Raw Values'!B32</f>
        <v>1.55</v>
      </c>
      <c r="C32" s="18">
        <f>'Raw Values'!C32</f>
        <v>30</v>
      </c>
      <c r="D32" s="15">
        <f>'Raw Values'!D32</f>
        <v>0.98</v>
      </c>
      <c r="E32" s="15">
        <f>'Raw Values'!F32</f>
        <v>0.09</v>
      </c>
      <c r="F32" s="176"/>
      <c r="G32" s="226">
        <f>CEILING(100/('Damage @Range(Armor)'!F32),1)</f>
        <v>5</v>
      </c>
      <c r="H32" s="226">
        <f>CEILING(100/('Damage @Range(Armor)'!G32),1)</f>
        <v>5</v>
      </c>
      <c r="I32" s="226">
        <f>CEILING(100/('Damage @Range(Armor)'!H32),1)</f>
        <v>5</v>
      </c>
      <c r="J32" s="226">
        <f>CEILING(100/('Damage @Range(Armor)'!I32),1)</f>
        <v>5</v>
      </c>
      <c r="K32" s="226">
        <f>CEILING(100/('Damage @Range(Armor)'!J32),1)</f>
        <v>5</v>
      </c>
      <c r="L32" s="226">
        <f>CEILING(100/('Damage @Range(Armor)'!K32),1)</f>
        <v>5</v>
      </c>
      <c r="M32" s="226">
        <f>CEILING(100/('Damage @Range(Armor)'!L32),1)</f>
        <v>5</v>
      </c>
      <c r="N32" s="226">
        <f>CEILING(100/('Damage @Range(Armor)'!M32),1)</f>
        <v>5</v>
      </c>
      <c r="O32" s="226">
        <f>CEILING(100/('Damage @Range(Armor)'!N32),1)</f>
        <v>5</v>
      </c>
      <c r="P32" s="226">
        <f>CEILING(100/('Damage @Range(Armor)'!O32),1)</f>
        <v>5</v>
      </c>
      <c r="Q32" s="226">
        <f>CEILING(100/('Damage @Range(Armor)'!P32),1)</f>
        <v>5</v>
      </c>
      <c r="R32" s="226">
        <f>CEILING(100/('Damage @Range(Armor)'!Q32),1)</f>
        <v>5</v>
      </c>
      <c r="S32" s="226">
        <f>CEILING(100/('Damage @Range(Armor)'!R32),1)</f>
        <v>5</v>
      </c>
      <c r="T32" s="226">
        <f>CEILING(100/('Damage @Range(Armor)'!S32),1)</f>
        <v>5</v>
      </c>
      <c r="U32" s="226">
        <f>CEILING(100/('Damage @Range(Armor)'!T32),1)</f>
        <v>5</v>
      </c>
      <c r="V32" s="227"/>
      <c r="W32" s="226">
        <f>CEILING(100/('Damage @Range(Armor)'!V32),1)</f>
        <v>5</v>
      </c>
      <c r="X32" s="226">
        <f>CEILING(100/('Damage @Range(Armor)'!W32),1)</f>
        <v>5</v>
      </c>
      <c r="Y32" s="226">
        <f>CEILING(100/('Damage @Range(Armor)'!X32),1)</f>
        <v>5</v>
      </c>
      <c r="Z32" s="176"/>
      <c r="AA32" s="15">
        <f>SUM((G32-1)*'Raw Values'!F32)</f>
        <v>0.36</v>
      </c>
      <c r="AB32" s="15">
        <f>SUM((I32-1)*'Raw Values'!F32)</f>
        <v>0.36</v>
      </c>
      <c r="AC32" s="15">
        <f>SUM((L32-1)*'Raw Values'!F32)</f>
        <v>0.36</v>
      </c>
      <c r="AD32" s="15">
        <f>SUM((R32-1)*'Raw Values'!F32)</f>
        <v>0.36</v>
      </c>
    </row>
    <row r="33" spans="1:30" ht="15.75" customHeight="1" x14ac:dyDescent="0.15">
      <c r="A33" s="35" t="s">
        <v>171</v>
      </c>
      <c r="B33" s="212">
        <f>'Raw Values'!B33</f>
        <v>1.4</v>
      </c>
      <c r="C33" s="18">
        <f>'Raw Values'!C33</f>
        <v>33</v>
      </c>
      <c r="D33" s="15">
        <f>'Raw Values'!D33</f>
        <v>0.97</v>
      </c>
      <c r="E33" s="15">
        <f>'Raw Values'!F33</f>
        <v>0.09</v>
      </c>
      <c r="F33" s="176"/>
      <c r="G33" s="226">
        <f>CEILING(100/('Damage @Range(Armor)'!F33),1)</f>
        <v>5</v>
      </c>
      <c r="H33" s="226">
        <f>CEILING(100/('Damage @Range(Armor)'!G33),1)</f>
        <v>5</v>
      </c>
      <c r="I33" s="226">
        <f>CEILING(100/('Damage @Range(Armor)'!H33),1)</f>
        <v>5</v>
      </c>
      <c r="J33" s="226">
        <f>CEILING(100/('Damage @Range(Armor)'!I33),1)</f>
        <v>5</v>
      </c>
      <c r="K33" s="226">
        <f>CEILING(100/('Damage @Range(Armor)'!J33),1)</f>
        <v>5</v>
      </c>
      <c r="L33" s="226">
        <f>CEILING(100/('Damage @Range(Armor)'!K33),1)</f>
        <v>5</v>
      </c>
      <c r="M33" s="226">
        <f>CEILING(100/('Damage @Range(Armor)'!L33),1)</f>
        <v>5</v>
      </c>
      <c r="N33" s="226">
        <f>CEILING(100/('Damage @Range(Armor)'!M33),1)</f>
        <v>5</v>
      </c>
      <c r="O33" s="226">
        <f>CEILING(100/('Damage @Range(Armor)'!N33),1)</f>
        <v>5</v>
      </c>
      <c r="P33" s="226">
        <f>CEILING(100/('Damage @Range(Armor)'!O33),1)</f>
        <v>5</v>
      </c>
      <c r="Q33" s="226">
        <f>CEILING(100/('Damage @Range(Armor)'!P33),1)</f>
        <v>5</v>
      </c>
      <c r="R33" s="226">
        <f>CEILING(100/('Damage @Range(Armor)'!Q33),1)</f>
        <v>5</v>
      </c>
      <c r="S33" s="226">
        <f>CEILING(100/('Damage @Range(Armor)'!R33),1)</f>
        <v>5</v>
      </c>
      <c r="T33" s="226">
        <f>CEILING(100/('Damage @Range(Armor)'!S33),1)</f>
        <v>5</v>
      </c>
      <c r="U33" s="226">
        <f>CEILING(100/('Damage @Range(Armor)'!T33),1)</f>
        <v>5</v>
      </c>
      <c r="V33" s="227"/>
      <c r="W33" s="226">
        <f>CEILING(100/('Damage @Range(Armor)'!V33),1)</f>
        <v>5</v>
      </c>
      <c r="X33" s="226">
        <f>CEILING(100/('Damage @Range(Armor)'!W33),1)</f>
        <v>6</v>
      </c>
      <c r="Y33" s="226">
        <f>CEILING(100/('Damage @Range(Armor)'!X33),1)</f>
        <v>6</v>
      </c>
      <c r="Z33" s="176"/>
      <c r="AA33" s="15">
        <f>SUM((G33-1)*'Raw Values'!F33)</f>
        <v>0.36</v>
      </c>
      <c r="AB33" s="15">
        <f>SUM((I33-1)*'Raw Values'!F33)</f>
        <v>0.36</v>
      </c>
      <c r="AC33" s="15">
        <f>SUM((L33-1)*'Raw Values'!F33)</f>
        <v>0.36</v>
      </c>
      <c r="AD33" s="15">
        <f>SUM((R33-1)*'Raw Values'!F33)</f>
        <v>0.36</v>
      </c>
    </row>
    <row r="34" spans="1:30" ht="15.75" customHeight="1" x14ac:dyDescent="0.15">
      <c r="A34" s="35" t="s">
        <v>172</v>
      </c>
      <c r="B34" s="212">
        <f>'Raw Values'!B34</f>
        <v>1.4</v>
      </c>
      <c r="C34" s="18">
        <f>'Raw Values'!C34</f>
        <v>38</v>
      </c>
      <c r="D34" s="15">
        <f>'Raw Values'!D34</f>
        <v>0.99</v>
      </c>
      <c r="E34" s="15">
        <f>'Raw Values'!F34</f>
        <v>0.1</v>
      </c>
      <c r="F34" s="176"/>
      <c r="G34" s="226">
        <f>CEILING(100/('Damage @Range(Armor)'!F34),1)</f>
        <v>4</v>
      </c>
      <c r="H34" s="226">
        <f>CEILING(100/('Damage @Range(Armor)'!G34),1)</f>
        <v>4</v>
      </c>
      <c r="I34" s="226">
        <f>CEILING(100/('Damage @Range(Armor)'!H34),1)</f>
        <v>4</v>
      </c>
      <c r="J34" s="226">
        <f>CEILING(100/('Damage @Range(Armor)'!I34),1)</f>
        <v>4</v>
      </c>
      <c r="K34" s="226">
        <f>CEILING(100/('Damage @Range(Armor)'!J34),1)</f>
        <v>4</v>
      </c>
      <c r="L34" s="226">
        <f>CEILING(100/('Damage @Range(Armor)'!K34),1)</f>
        <v>4</v>
      </c>
      <c r="M34" s="226">
        <f>CEILING(100/('Damage @Range(Armor)'!L34),1)</f>
        <v>4</v>
      </c>
      <c r="N34" s="226">
        <f>CEILING(100/('Damage @Range(Armor)'!M34),1)</f>
        <v>4</v>
      </c>
      <c r="O34" s="226">
        <f>CEILING(100/('Damage @Range(Armor)'!N34),1)</f>
        <v>4</v>
      </c>
      <c r="P34" s="226">
        <f>CEILING(100/('Damage @Range(Armor)'!O34),1)</f>
        <v>4</v>
      </c>
      <c r="Q34" s="226">
        <f>CEILING(100/('Damage @Range(Armor)'!P34),1)</f>
        <v>4</v>
      </c>
      <c r="R34" s="226">
        <f>CEILING(100/('Damage @Range(Armor)'!Q34),1)</f>
        <v>4</v>
      </c>
      <c r="S34" s="226">
        <f>CEILING(100/('Damage @Range(Armor)'!R34),1)</f>
        <v>4</v>
      </c>
      <c r="T34" s="226">
        <f>CEILING(100/('Damage @Range(Armor)'!S34),1)</f>
        <v>4</v>
      </c>
      <c r="U34" s="226">
        <f>CEILING(100/('Damage @Range(Armor)'!T34),1)</f>
        <v>4</v>
      </c>
      <c r="V34" s="227"/>
      <c r="W34" s="226">
        <f>CEILING(100/('Damage @Range(Armor)'!V34),1)</f>
        <v>4</v>
      </c>
      <c r="X34" s="226">
        <f>CEILING(100/('Damage @Range(Armor)'!W34),1)</f>
        <v>4</v>
      </c>
      <c r="Y34" s="226">
        <f>CEILING(100/('Damage @Range(Armor)'!X34),1)</f>
        <v>4</v>
      </c>
      <c r="Z34" s="176"/>
      <c r="AA34" s="15">
        <f>SUM((G34-1)*'Raw Values'!F34)</f>
        <v>0.30000000000000004</v>
      </c>
      <c r="AB34" s="15">
        <f>SUM((I34-1)*'Raw Values'!F34)</f>
        <v>0.30000000000000004</v>
      </c>
      <c r="AC34" s="15">
        <f>SUM((L34-1)*'Raw Values'!F34)</f>
        <v>0.30000000000000004</v>
      </c>
      <c r="AD34" s="15">
        <f>SUM((R34-1)*'Raw Values'!F34)</f>
        <v>0.30000000000000004</v>
      </c>
    </row>
    <row r="35" spans="1:30" ht="15.75" customHeight="1" x14ac:dyDescent="0.15">
      <c r="A35" s="36" t="s">
        <v>173</v>
      </c>
      <c r="B35" s="212">
        <f>'Raw Values'!B35</f>
        <v>2</v>
      </c>
      <c r="C35" s="18">
        <f>'Raw Values'!C35</f>
        <v>30</v>
      </c>
      <c r="D35" s="15">
        <f>'Raw Values'!D35</f>
        <v>0.98</v>
      </c>
      <c r="E35" s="15">
        <f>'Raw Values'!F35</f>
        <v>0.11</v>
      </c>
      <c r="F35" s="176"/>
      <c r="G35" s="226">
        <f>CEILING(100/('Damage @Range(Armor)'!F35),1)</f>
        <v>4</v>
      </c>
      <c r="H35" s="226">
        <f>CEILING(100/('Damage @Range(Armor)'!G35),1)</f>
        <v>4</v>
      </c>
      <c r="I35" s="226">
        <f>CEILING(100/('Damage @Range(Armor)'!H35),1)</f>
        <v>4</v>
      </c>
      <c r="J35" s="226">
        <f>CEILING(100/('Damage @Range(Armor)'!I35),1)</f>
        <v>4</v>
      </c>
      <c r="K35" s="226">
        <f>CEILING(100/('Damage @Range(Armor)'!J35),1)</f>
        <v>4</v>
      </c>
      <c r="L35" s="226">
        <f>CEILING(100/('Damage @Range(Armor)'!K35),1)</f>
        <v>4</v>
      </c>
      <c r="M35" s="226">
        <f>CEILING(100/('Damage @Range(Armor)'!L35),1)</f>
        <v>4</v>
      </c>
      <c r="N35" s="226">
        <f>CEILING(100/('Damage @Range(Armor)'!M35),1)</f>
        <v>4</v>
      </c>
      <c r="O35" s="226">
        <f>CEILING(100/('Damage @Range(Armor)'!N35),1)</f>
        <v>4</v>
      </c>
      <c r="P35" s="226">
        <f>CEILING(100/('Damage @Range(Armor)'!O35),1)</f>
        <v>4</v>
      </c>
      <c r="Q35" s="226">
        <f>CEILING(100/('Damage @Range(Armor)'!P35),1)</f>
        <v>4</v>
      </c>
      <c r="R35" s="226">
        <f>CEILING(100/('Damage @Range(Armor)'!Q35),1)</f>
        <v>4</v>
      </c>
      <c r="S35" s="226">
        <f>CEILING(100/('Damage @Range(Armor)'!R35),1)</f>
        <v>4</v>
      </c>
      <c r="T35" s="226">
        <f>CEILING(100/('Damage @Range(Armor)'!S35),1)</f>
        <v>4</v>
      </c>
      <c r="U35" s="226">
        <f>CEILING(100/('Damage @Range(Armor)'!T35),1)</f>
        <v>4</v>
      </c>
      <c r="V35" s="227"/>
      <c r="W35" s="226">
        <f>CEILING(100/('Damage @Range(Armor)'!V35),1)</f>
        <v>4</v>
      </c>
      <c r="X35" s="226">
        <f>CEILING(100/('Damage @Range(Armor)'!W35),1)</f>
        <v>4</v>
      </c>
      <c r="Y35" s="226">
        <f>CEILING(100/('Damage @Range(Armor)'!X35),1)</f>
        <v>4</v>
      </c>
      <c r="Z35" s="176"/>
      <c r="AA35" s="15">
        <f>SUM((G35-1)*'Raw Values'!F35)</f>
        <v>0.33</v>
      </c>
      <c r="AB35" s="15">
        <f>SUM((I35-1)*'Raw Values'!F35)</f>
        <v>0.33</v>
      </c>
      <c r="AC35" s="15">
        <f>SUM((L35-1)*'Raw Values'!F35)</f>
        <v>0.33</v>
      </c>
      <c r="AD35" s="15">
        <f>SUM((R35-1)*'Raw Values'!F35)</f>
        <v>0.33</v>
      </c>
    </row>
    <row r="36" spans="1:30" ht="15.75" customHeight="1" x14ac:dyDescent="0.15">
      <c r="A36" s="39"/>
      <c r="B36" s="98"/>
      <c r="C36" s="214"/>
      <c r="D36" s="41"/>
      <c r="E36" s="177"/>
      <c r="F36" s="179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9"/>
      <c r="W36" s="228"/>
      <c r="X36" s="228"/>
      <c r="Y36" s="228"/>
      <c r="Z36" s="179"/>
      <c r="AA36" s="41"/>
      <c r="AB36" s="41"/>
      <c r="AC36" s="41"/>
      <c r="AD36" s="41"/>
    </row>
    <row r="37" spans="1:30" ht="15.75" customHeight="1" x14ac:dyDescent="0.15">
      <c r="A37" s="1" t="s">
        <v>79</v>
      </c>
      <c r="B37" s="66" t="s">
        <v>262</v>
      </c>
      <c r="C37" s="210" t="s">
        <v>3</v>
      </c>
      <c r="D37" s="4" t="s">
        <v>93</v>
      </c>
      <c r="E37" s="69" t="s">
        <v>95</v>
      </c>
      <c r="F37" s="204"/>
      <c r="G37" s="223" t="s">
        <v>264</v>
      </c>
      <c r="H37" s="223" t="s">
        <v>265</v>
      </c>
      <c r="I37" s="223" t="s">
        <v>266</v>
      </c>
      <c r="J37" s="223" t="s">
        <v>267</v>
      </c>
      <c r="K37" s="223" t="s">
        <v>268</v>
      </c>
      <c r="L37" s="223" t="s">
        <v>269</v>
      </c>
      <c r="M37" s="223" t="s">
        <v>270</v>
      </c>
      <c r="N37" s="223" t="s">
        <v>271</v>
      </c>
      <c r="O37" s="223" t="s">
        <v>272</v>
      </c>
      <c r="P37" s="223" t="s">
        <v>273</v>
      </c>
      <c r="Q37" s="223" t="s">
        <v>274</v>
      </c>
      <c r="R37" s="223" t="s">
        <v>275</v>
      </c>
      <c r="S37" s="223" t="s">
        <v>276</v>
      </c>
      <c r="T37" s="223" t="s">
        <v>277</v>
      </c>
      <c r="U37" s="223" t="s">
        <v>278</v>
      </c>
      <c r="V37" s="224"/>
      <c r="W37" s="225" t="s">
        <v>279</v>
      </c>
      <c r="X37" s="225" t="s">
        <v>280</v>
      </c>
      <c r="Y37" s="225" t="s">
        <v>281</v>
      </c>
      <c r="Z37" s="174"/>
      <c r="AA37" s="4" t="s">
        <v>282</v>
      </c>
      <c r="AB37" s="4" t="s">
        <v>283</v>
      </c>
      <c r="AC37" s="4" t="s">
        <v>284</v>
      </c>
      <c r="AD37" s="4" t="s">
        <v>285</v>
      </c>
    </row>
    <row r="38" spans="1:30" ht="15.75" customHeight="1" x14ac:dyDescent="0.15">
      <c r="A38" s="9" t="s">
        <v>174</v>
      </c>
      <c r="B38" s="212">
        <f>'Raw Values'!B38</f>
        <v>1.6</v>
      </c>
      <c r="C38" s="18">
        <f>'Raw Values'!C38</f>
        <v>32</v>
      </c>
      <c r="D38" s="15">
        <f>'Raw Values'!D38</f>
        <v>0.97</v>
      </c>
      <c r="E38" s="15">
        <f>'Raw Values'!F38</f>
        <v>0.08</v>
      </c>
      <c r="F38" s="176"/>
      <c r="G38" s="226">
        <f>CEILING(100/('Damage @Range(Armor)'!F38),1)</f>
        <v>4</v>
      </c>
      <c r="H38" s="226">
        <f>CEILING(100/('Damage @Range(Armor)'!G38),1)</f>
        <v>4</v>
      </c>
      <c r="I38" s="226">
        <f>CEILING(100/('Damage @Range(Armor)'!H38),1)</f>
        <v>4</v>
      </c>
      <c r="J38" s="226">
        <f>CEILING(100/('Damage @Range(Armor)'!I38),1)</f>
        <v>5</v>
      </c>
      <c r="K38" s="226">
        <f>CEILING(100/('Damage @Range(Armor)'!J38),1)</f>
        <v>5</v>
      </c>
      <c r="L38" s="226">
        <f>CEILING(100/('Damage @Range(Armor)'!K38),1)</f>
        <v>5</v>
      </c>
      <c r="M38" s="226">
        <f>CEILING(100/('Damage @Range(Armor)'!L38),1)</f>
        <v>5</v>
      </c>
      <c r="N38" s="226">
        <f>CEILING(100/('Damage @Range(Armor)'!M38),1)</f>
        <v>5</v>
      </c>
      <c r="O38" s="226">
        <f>CEILING(100/('Damage @Range(Armor)'!N38),1)</f>
        <v>5</v>
      </c>
      <c r="P38" s="226">
        <f>CEILING(100/('Damage @Range(Armor)'!O38),1)</f>
        <v>5</v>
      </c>
      <c r="Q38" s="226">
        <f>CEILING(100/('Damage @Range(Armor)'!P38),1)</f>
        <v>5</v>
      </c>
      <c r="R38" s="226">
        <f>CEILING(100/('Damage @Range(Armor)'!Q38),1)</f>
        <v>5</v>
      </c>
      <c r="S38" s="226">
        <f>CEILING(100/('Damage @Range(Armor)'!R38),1)</f>
        <v>5</v>
      </c>
      <c r="T38" s="226">
        <f>CEILING(100/('Damage @Range(Armor)'!S38),1)</f>
        <v>5</v>
      </c>
      <c r="U38" s="226">
        <f>CEILING(100/('Damage @Range(Armor)'!T38),1)</f>
        <v>5</v>
      </c>
      <c r="V38" s="227"/>
      <c r="W38" s="226">
        <f>CEILING(100/('Damage @Range(Armor)'!V38),1)</f>
        <v>5</v>
      </c>
      <c r="X38" s="226">
        <f>CEILING(100/('Damage @Range(Armor)'!W38),1)</f>
        <v>5</v>
      </c>
      <c r="Y38" s="226">
        <f>CEILING(100/('Damage @Range(Armor)'!X38),1)</f>
        <v>5</v>
      </c>
      <c r="Z38" s="176"/>
      <c r="AA38" s="15">
        <f>SUM((G38-1)*'Raw Values'!F38)</f>
        <v>0.24</v>
      </c>
      <c r="AB38" s="15">
        <f>SUM((I38-1)*'Raw Values'!F38)</f>
        <v>0.24</v>
      </c>
      <c r="AC38" s="15">
        <f>SUM((L38-1)*'Raw Values'!F38)</f>
        <v>0.32</v>
      </c>
      <c r="AD38" s="15">
        <f>SUM((R38-1)*'Raw Values'!F38)</f>
        <v>0.32</v>
      </c>
    </row>
    <row r="39" spans="1:30" ht="15.75" customHeight="1" x14ac:dyDescent="0.15">
      <c r="A39" s="9" t="s">
        <v>176</v>
      </c>
      <c r="B39" s="212">
        <f>'Raw Values'!B39</f>
        <v>1.42</v>
      </c>
      <c r="C39" s="18">
        <f>'Raw Values'!C39</f>
        <v>35</v>
      </c>
      <c r="D39" s="15">
        <f>'Raw Values'!D39</f>
        <v>0.97</v>
      </c>
      <c r="E39" s="15">
        <f>'Raw Values'!F39</f>
        <v>7.4999999999999997E-2</v>
      </c>
      <c r="F39" s="176"/>
      <c r="G39" s="226">
        <f>CEILING(100/('Damage @Range(Armor)'!F39),1)</f>
        <v>5</v>
      </c>
      <c r="H39" s="226">
        <f>CEILING(100/('Damage @Range(Armor)'!G39),1)</f>
        <v>5</v>
      </c>
      <c r="I39" s="226">
        <f>CEILING(100/('Damage @Range(Armor)'!H39),1)</f>
        <v>5</v>
      </c>
      <c r="J39" s="226">
        <f>CEILING(100/('Damage @Range(Armor)'!I39),1)</f>
        <v>5</v>
      </c>
      <c r="K39" s="226">
        <f>CEILING(100/('Damage @Range(Armor)'!J39),1)</f>
        <v>5</v>
      </c>
      <c r="L39" s="226">
        <f>CEILING(100/('Damage @Range(Armor)'!K39),1)</f>
        <v>5</v>
      </c>
      <c r="M39" s="226">
        <f>CEILING(100/('Damage @Range(Armor)'!L39),1)</f>
        <v>5</v>
      </c>
      <c r="N39" s="226">
        <f>CEILING(100/('Damage @Range(Armor)'!M39),1)</f>
        <v>5</v>
      </c>
      <c r="O39" s="226">
        <f>CEILING(100/('Damage @Range(Armor)'!N39),1)</f>
        <v>5</v>
      </c>
      <c r="P39" s="226">
        <f>CEILING(100/('Damage @Range(Armor)'!O39),1)</f>
        <v>5</v>
      </c>
      <c r="Q39" s="226">
        <f>CEILING(100/('Damage @Range(Armor)'!P39),1)</f>
        <v>5</v>
      </c>
      <c r="R39" s="226">
        <f>CEILING(100/('Damage @Range(Armor)'!Q39),1)</f>
        <v>5</v>
      </c>
      <c r="S39" s="226">
        <f>CEILING(100/('Damage @Range(Armor)'!R39),1)</f>
        <v>5</v>
      </c>
      <c r="T39" s="226">
        <f>CEILING(100/('Damage @Range(Armor)'!S39),1)</f>
        <v>5</v>
      </c>
      <c r="U39" s="226">
        <f>CEILING(100/('Damage @Range(Armor)'!T39),1)</f>
        <v>5</v>
      </c>
      <c r="V39" s="227"/>
      <c r="W39" s="226">
        <f>CEILING(100/('Damage @Range(Armor)'!V39),1)</f>
        <v>5</v>
      </c>
      <c r="X39" s="226">
        <f>CEILING(100/('Damage @Range(Armor)'!W39),1)</f>
        <v>5</v>
      </c>
      <c r="Y39" s="226">
        <f>CEILING(100/('Damage @Range(Armor)'!X39),1)</f>
        <v>5</v>
      </c>
      <c r="Z39" s="176"/>
      <c r="AA39" s="15">
        <f>SUM((G39-1)*'Raw Values'!F39)</f>
        <v>0.3</v>
      </c>
      <c r="AB39" s="15">
        <f>SUM((I39-1)*'Raw Values'!F39)</f>
        <v>0.3</v>
      </c>
      <c r="AC39" s="15">
        <f>SUM((L39-1)*'Raw Values'!F39)</f>
        <v>0.3</v>
      </c>
      <c r="AD39" s="15">
        <f>SUM((R39-1)*'Raw Values'!F39)</f>
        <v>0.3</v>
      </c>
    </row>
    <row r="40" spans="1:30" ht="15.75" customHeight="1" x14ac:dyDescent="0.15">
      <c r="A40" s="39"/>
      <c r="B40" s="98"/>
      <c r="C40" s="214"/>
      <c r="D40" s="41"/>
      <c r="E40" s="177"/>
      <c r="F40" s="179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9"/>
      <c r="W40" s="228"/>
      <c r="X40" s="228"/>
      <c r="Y40" s="228"/>
      <c r="Z40" s="179"/>
      <c r="AA40" s="41"/>
      <c r="AB40" s="41"/>
      <c r="AC40" s="41"/>
      <c r="AD40" s="41"/>
    </row>
    <row r="41" spans="1:30" ht="15.75" customHeight="1" x14ac:dyDescent="0.15">
      <c r="A41" s="1" t="s">
        <v>82</v>
      </c>
      <c r="B41" s="66" t="s">
        <v>262</v>
      </c>
      <c r="C41" s="210" t="s">
        <v>3</v>
      </c>
      <c r="D41" s="4" t="s">
        <v>93</v>
      </c>
      <c r="E41" s="69" t="s">
        <v>95</v>
      </c>
      <c r="F41" s="204"/>
      <c r="G41" s="223" t="s">
        <v>264</v>
      </c>
      <c r="H41" s="223" t="s">
        <v>265</v>
      </c>
      <c r="I41" s="223" t="s">
        <v>266</v>
      </c>
      <c r="J41" s="223" t="s">
        <v>267</v>
      </c>
      <c r="K41" s="223" t="s">
        <v>268</v>
      </c>
      <c r="L41" s="223" t="s">
        <v>269</v>
      </c>
      <c r="M41" s="223" t="s">
        <v>270</v>
      </c>
      <c r="N41" s="223" t="s">
        <v>271</v>
      </c>
      <c r="O41" s="223" t="s">
        <v>272</v>
      </c>
      <c r="P41" s="223" t="s">
        <v>273</v>
      </c>
      <c r="Q41" s="223" t="s">
        <v>274</v>
      </c>
      <c r="R41" s="223" t="s">
        <v>275</v>
      </c>
      <c r="S41" s="223" t="s">
        <v>276</v>
      </c>
      <c r="T41" s="223" t="s">
        <v>277</v>
      </c>
      <c r="U41" s="223" t="s">
        <v>278</v>
      </c>
      <c r="V41" s="224"/>
      <c r="W41" s="225" t="s">
        <v>279</v>
      </c>
      <c r="X41" s="225" t="s">
        <v>280</v>
      </c>
      <c r="Y41" s="225" t="s">
        <v>281</v>
      </c>
      <c r="Z41" s="174"/>
      <c r="AA41" s="4" t="s">
        <v>282</v>
      </c>
      <c r="AB41" s="4" t="s">
        <v>283</v>
      </c>
      <c r="AC41" s="4" t="s">
        <v>284</v>
      </c>
      <c r="AD41" s="4" t="s">
        <v>285</v>
      </c>
    </row>
    <row r="42" spans="1:30" ht="15.75" customHeight="1" x14ac:dyDescent="0.15">
      <c r="A42" s="9" t="s">
        <v>177</v>
      </c>
      <c r="B42" s="212">
        <f>'Raw Values'!B42</f>
        <v>1.95</v>
      </c>
      <c r="C42" s="18">
        <f>'Raw Values'!C42</f>
        <v>115</v>
      </c>
      <c r="D42" s="15">
        <f>'Raw Values'!D42</f>
        <v>0.99</v>
      </c>
      <c r="E42" s="15">
        <f>'Raw Values'!F42</f>
        <v>1.4550000000000001</v>
      </c>
      <c r="F42" s="176"/>
      <c r="G42" s="226">
        <f>CEILING(100/('Damage @Range(Armor)'!F42),1)</f>
        <v>1</v>
      </c>
      <c r="H42" s="226">
        <f>CEILING(100/('Damage @Range(Armor)'!G42),1)</f>
        <v>1</v>
      </c>
      <c r="I42" s="226">
        <f>CEILING(100/('Damage @Range(Armor)'!H42),1)</f>
        <v>1</v>
      </c>
      <c r="J42" s="226">
        <f>CEILING(100/('Damage @Range(Armor)'!I42),1)</f>
        <v>1</v>
      </c>
      <c r="K42" s="226">
        <f>CEILING(100/('Damage @Range(Armor)'!J42),1)</f>
        <v>1</v>
      </c>
      <c r="L42" s="226">
        <f>CEILING(100/('Damage @Range(Armor)'!K42),1)</f>
        <v>1</v>
      </c>
      <c r="M42" s="226">
        <f>CEILING(100/('Damage @Range(Armor)'!L42),1)</f>
        <v>1</v>
      </c>
      <c r="N42" s="226">
        <f>CEILING(100/('Damage @Range(Armor)'!M42),1)</f>
        <v>1</v>
      </c>
      <c r="O42" s="226">
        <f>CEILING(100/('Damage @Range(Armor)'!N42),1)</f>
        <v>1</v>
      </c>
      <c r="P42" s="226">
        <f>CEILING(100/('Damage @Range(Armor)'!O42),1)</f>
        <v>1</v>
      </c>
      <c r="Q42" s="226">
        <f>CEILING(100/('Damage @Range(Armor)'!P42),1)</f>
        <v>1</v>
      </c>
      <c r="R42" s="226">
        <f>CEILING(100/('Damage @Range(Armor)'!Q42),1)</f>
        <v>1</v>
      </c>
      <c r="S42" s="226">
        <f>CEILING(100/('Damage @Range(Armor)'!R42),1)</f>
        <v>1</v>
      </c>
      <c r="T42" s="226">
        <f>CEILING(100/('Damage @Range(Armor)'!S42),1)</f>
        <v>1</v>
      </c>
      <c r="U42" s="226">
        <f>CEILING(100/('Damage @Range(Armor)'!T42),1)</f>
        <v>1</v>
      </c>
      <c r="V42" s="227"/>
      <c r="W42" s="226">
        <f>CEILING(100/('Damage @Range(Armor)'!V42),1)</f>
        <v>1</v>
      </c>
      <c r="X42" s="226">
        <f>CEILING(100/('Damage @Range(Armor)'!W42),1)</f>
        <v>1</v>
      </c>
      <c r="Y42" s="226">
        <f>CEILING(100/('Damage @Range(Armor)'!X42),1)</f>
        <v>1</v>
      </c>
      <c r="Z42" s="176"/>
      <c r="AA42" s="38" t="s">
        <v>286</v>
      </c>
      <c r="AB42" s="38" t="s">
        <v>286</v>
      </c>
      <c r="AC42" s="38" t="s">
        <v>286</v>
      </c>
      <c r="AD42" s="38" t="s">
        <v>286</v>
      </c>
    </row>
    <row r="43" spans="1:30" ht="15.75" customHeight="1" x14ac:dyDescent="0.15">
      <c r="A43" s="36" t="s">
        <v>179</v>
      </c>
      <c r="B43" s="212">
        <f>'Raw Values'!B43</f>
        <v>1.65</v>
      </c>
      <c r="C43" s="18">
        <f>'Raw Values'!C43</f>
        <v>80</v>
      </c>
      <c r="D43" s="15">
        <f>'Raw Values'!D43</f>
        <v>0.98</v>
      </c>
      <c r="E43" s="15">
        <f>'Raw Values'!F43</f>
        <v>0.25</v>
      </c>
      <c r="F43" s="176"/>
      <c r="G43" s="226">
        <f>CEILING(100/('Damage @Range(Armor)'!F43),1)</f>
        <v>2</v>
      </c>
      <c r="H43" s="226">
        <f>CEILING(100/('Damage @Range(Armor)'!G43),1)</f>
        <v>2</v>
      </c>
      <c r="I43" s="226">
        <f>CEILING(100/('Damage @Range(Armor)'!H43),1)</f>
        <v>2</v>
      </c>
      <c r="J43" s="226">
        <f>CEILING(100/('Damage @Range(Armor)'!I43),1)</f>
        <v>2</v>
      </c>
      <c r="K43" s="226">
        <f>CEILING(100/('Damage @Range(Armor)'!J43),1)</f>
        <v>2</v>
      </c>
      <c r="L43" s="226">
        <f>CEILING(100/('Damage @Range(Armor)'!K43),1)</f>
        <v>2</v>
      </c>
      <c r="M43" s="226">
        <f>CEILING(100/('Damage @Range(Armor)'!L43),1)</f>
        <v>2</v>
      </c>
      <c r="N43" s="226">
        <f>CEILING(100/('Damage @Range(Armor)'!M43),1)</f>
        <v>2</v>
      </c>
      <c r="O43" s="226">
        <f>CEILING(100/('Damage @Range(Armor)'!N43),1)</f>
        <v>2</v>
      </c>
      <c r="P43" s="226">
        <f>CEILING(100/('Damage @Range(Armor)'!O43),1)</f>
        <v>2</v>
      </c>
      <c r="Q43" s="226">
        <f>CEILING(100/('Damage @Range(Armor)'!P43),1)</f>
        <v>2</v>
      </c>
      <c r="R43" s="226">
        <f>CEILING(100/('Damage @Range(Armor)'!Q43),1)</f>
        <v>2</v>
      </c>
      <c r="S43" s="226">
        <f>CEILING(100/('Damage @Range(Armor)'!R43),1)</f>
        <v>2</v>
      </c>
      <c r="T43" s="226">
        <f>CEILING(100/('Damage @Range(Armor)'!S43),1)</f>
        <v>2</v>
      </c>
      <c r="U43" s="226">
        <f>CEILING(100/('Damage @Range(Armor)'!T43),1)</f>
        <v>2</v>
      </c>
      <c r="V43" s="227"/>
      <c r="W43" s="226">
        <f>CEILING(100/('Damage @Range(Armor)'!V43),1)</f>
        <v>2</v>
      </c>
      <c r="X43" s="226">
        <f>CEILING(100/('Damage @Range(Armor)'!W43),1)</f>
        <v>2</v>
      </c>
      <c r="Y43" s="226">
        <f>CEILING(100/('Damage @Range(Armor)'!X43),1)</f>
        <v>2</v>
      </c>
      <c r="Z43" s="176"/>
      <c r="AA43" s="15">
        <f>SUM((G43-1)*'Raw Values'!F43)</f>
        <v>0.25</v>
      </c>
      <c r="AB43" s="15">
        <f>SUM((I43-1)*'Raw Values'!F43)</f>
        <v>0.25</v>
      </c>
      <c r="AC43" s="15">
        <f>SUM((L43-1)*'Raw Values'!F43)</f>
        <v>0.25</v>
      </c>
      <c r="AD43" s="15">
        <f>SUM((R43-1)*'Raw Values'!F43)</f>
        <v>0.25</v>
      </c>
    </row>
    <row r="44" spans="1:30" ht="15.75" customHeight="1" x14ac:dyDescent="0.15">
      <c r="A44" s="35" t="s">
        <v>180</v>
      </c>
      <c r="B44" s="212">
        <f>'Raw Values'!B44</f>
        <v>1.65</v>
      </c>
      <c r="C44" s="18">
        <f>'Raw Values'!C44</f>
        <v>80</v>
      </c>
      <c r="D44" s="15">
        <f>'Raw Values'!D44</f>
        <v>0.98</v>
      </c>
      <c r="E44" s="15">
        <f>'Raw Values'!F44</f>
        <v>0.25</v>
      </c>
      <c r="F44" s="176"/>
      <c r="G44" s="226">
        <f>CEILING(100/('Damage @Range(Armor)'!F44),1)</f>
        <v>2</v>
      </c>
      <c r="H44" s="226">
        <f>CEILING(100/('Damage @Range(Armor)'!G44),1)</f>
        <v>2</v>
      </c>
      <c r="I44" s="226">
        <f>CEILING(100/('Damage @Range(Armor)'!H44),1)</f>
        <v>2</v>
      </c>
      <c r="J44" s="226">
        <f>CEILING(100/('Damage @Range(Armor)'!I44),1)</f>
        <v>2</v>
      </c>
      <c r="K44" s="226">
        <f>CEILING(100/('Damage @Range(Armor)'!J44),1)</f>
        <v>2</v>
      </c>
      <c r="L44" s="226">
        <f>CEILING(100/('Damage @Range(Armor)'!K44),1)</f>
        <v>2</v>
      </c>
      <c r="M44" s="226">
        <f>CEILING(100/('Damage @Range(Armor)'!L44),1)</f>
        <v>2</v>
      </c>
      <c r="N44" s="226">
        <f>CEILING(100/('Damage @Range(Armor)'!M44),1)</f>
        <v>2</v>
      </c>
      <c r="O44" s="226">
        <f>CEILING(100/('Damage @Range(Armor)'!N44),1)</f>
        <v>2</v>
      </c>
      <c r="P44" s="226">
        <f>CEILING(100/('Damage @Range(Armor)'!O44),1)</f>
        <v>2</v>
      </c>
      <c r="Q44" s="226">
        <f>CEILING(100/('Damage @Range(Armor)'!P44),1)</f>
        <v>2</v>
      </c>
      <c r="R44" s="226">
        <f>CEILING(100/('Damage @Range(Armor)'!Q44),1)</f>
        <v>2</v>
      </c>
      <c r="S44" s="226">
        <f>CEILING(100/('Damage @Range(Armor)'!R44),1)</f>
        <v>2</v>
      </c>
      <c r="T44" s="226">
        <f>CEILING(100/('Damage @Range(Armor)'!S44),1)</f>
        <v>2</v>
      </c>
      <c r="U44" s="226">
        <f>CEILING(100/('Damage @Range(Armor)'!T44),1)</f>
        <v>2</v>
      </c>
      <c r="V44" s="227"/>
      <c r="W44" s="226">
        <f>CEILING(100/('Damage @Range(Armor)'!V44),1)</f>
        <v>2</v>
      </c>
      <c r="X44" s="226">
        <f>CEILING(100/('Damage @Range(Armor)'!W44),1)</f>
        <v>2</v>
      </c>
      <c r="Y44" s="226">
        <f>CEILING(100/('Damage @Range(Armor)'!X44),1)</f>
        <v>2</v>
      </c>
      <c r="Z44" s="176"/>
      <c r="AA44" s="15">
        <f>SUM((G44-1)*'Raw Values'!F44)</f>
        <v>0.25</v>
      </c>
      <c r="AB44" s="15">
        <f>SUM((I44-1)*'Raw Values'!F44)</f>
        <v>0.25</v>
      </c>
      <c r="AC44" s="15">
        <f>SUM((L44-1)*'Raw Values'!F44)</f>
        <v>0.25</v>
      </c>
      <c r="AD44" s="15">
        <f>SUM((R44-1)*'Raw Values'!F44)</f>
        <v>0.25</v>
      </c>
    </row>
    <row r="45" spans="1:30" ht="15.75" customHeight="1" x14ac:dyDescent="0.15">
      <c r="A45" s="9" t="s">
        <v>181</v>
      </c>
      <c r="B45" s="212">
        <f>'Raw Values'!B45</f>
        <v>1.7</v>
      </c>
      <c r="C45" s="18">
        <f>'Raw Values'!C45</f>
        <v>88</v>
      </c>
      <c r="D45" s="15">
        <f>'Raw Values'!D45</f>
        <v>0.98</v>
      </c>
      <c r="E45" s="15">
        <f>'Raw Values'!F45</f>
        <v>1.25</v>
      </c>
      <c r="F45" s="176"/>
      <c r="G45" s="226">
        <f>CEILING(100/('Damage @Range(Armor)'!F45),1)</f>
        <v>2</v>
      </c>
      <c r="H45" s="226">
        <f>CEILING(100/('Damage @Range(Armor)'!G45),1)</f>
        <v>2</v>
      </c>
      <c r="I45" s="226">
        <f>CEILING(100/('Damage @Range(Armor)'!H45),1)</f>
        <v>2</v>
      </c>
      <c r="J45" s="226">
        <f>CEILING(100/('Damage @Range(Armor)'!I45),1)</f>
        <v>2</v>
      </c>
      <c r="K45" s="226">
        <f>CEILING(100/('Damage @Range(Armor)'!J45),1)</f>
        <v>2</v>
      </c>
      <c r="L45" s="226">
        <f>CEILING(100/('Damage @Range(Armor)'!K45),1)</f>
        <v>2</v>
      </c>
      <c r="M45" s="226">
        <f>CEILING(100/('Damage @Range(Armor)'!L45),1)</f>
        <v>2</v>
      </c>
      <c r="N45" s="226">
        <f>CEILING(100/('Damage @Range(Armor)'!M45),1)</f>
        <v>2</v>
      </c>
      <c r="O45" s="226">
        <f>CEILING(100/('Damage @Range(Armor)'!N45),1)</f>
        <v>2</v>
      </c>
      <c r="P45" s="226">
        <f>CEILING(100/('Damage @Range(Armor)'!O45),1)</f>
        <v>2</v>
      </c>
      <c r="Q45" s="226">
        <f>CEILING(100/('Damage @Range(Armor)'!P45),1)</f>
        <v>2</v>
      </c>
      <c r="R45" s="226">
        <f>CEILING(100/('Damage @Range(Armor)'!Q45),1)</f>
        <v>2</v>
      </c>
      <c r="S45" s="226">
        <f>CEILING(100/('Damage @Range(Armor)'!R45),1)</f>
        <v>2</v>
      </c>
      <c r="T45" s="226">
        <f>CEILING(100/('Damage @Range(Armor)'!S45),1)</f>
        <v>2</v>
      </c>
      <c r="U45" s="226">
        <f>CEILING(100/('Damage @Range(Armor)'!T45),1)</f>
        <v>2</v>
      </c>
      <c r="V45" s="227"/>
      <c r="W45" s="226">
        <f>CEILING(100/('Damage @Range(Armor)'!V45),1)</f>
        <v>2</v>
      </c>
      <c r="X45" s="226">
        <f>CEILING(100/('Damage @Range(Armor)'!W45),1)</f>
        <v>2</v>
      </c>
      <c r="Y45" s="226">
        <f>CEILING(100/('Damage @Range(Armor)'!X45),1)</f>
        <v>2</v>
      </c>
      <c r="Z45" s="176"/>
      <c r="AA45" s="15">
        <f>SUM((G45-1)*'Raw Values'!F45)</f>
        <v>1.25</v>
      </c>
      <c r="AB45" s="15">
        <f>SUM((I45-1)*'Raw Values'!F45)</f>
        <v>1.25</v>
      </c>
      <c r="AC45" s="15">
        <f>SUM((L45-1)*'Raw Values'!F45)</f>
        <v>1.25</v>
      </c>
      <c r="AD45" s="15">
        <f>SUM((R45-1)*'Raw Values'!F45)</f>
        <v>1.25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9.6640625" customWidth="1"/>
    <col min="2" max="4" width="11.6640625" customWidth="1"/>
  </cols>
  <sheetData>
    <row r="1" spans="1:4" ht="15.75" customHeight="1" x14ac:dyDescent="0.15">
      <c r="A1" s="1" t="s">
        <v>0</v>
      </c>
      <c r="B1" s="72" t="s">
        <v>287</v>
      </c>
      <c r="C1" s="4" t="s">
        <v>288</v>
      </c>
      <c r="D1" s="4" t="s">
        <v>289</v>
      </c>
    </row>
    <row r="2" spans="1:4" ht="15.75" customHeight="1" x14ac:dyDescent="0.15">
      <c r="A2" s="9" t="s">
        <v>34</v>
      </c>
      <c r="B2" s="238">
        <v>1</v>
      </c>
      <c r="C2" s="38">
        <v>0.87</v>
      </c>
      <c r="D2" s="38">
        <v>2.2000000000000002</v>
      </c>
    </row>
    <row r="3" spans="1:4" ht="15.75" customHeight="1" x14ac:dyDescent="0.15">
      <c r="A3" s="9" t="s">
        <v>38</v>
      </c>
      <c r="B3" s="238">
        <v>1.17</v>
      </c>
      <c r="C3" s="38">
        <v>1.97</v>
      </c>
      <c r="D3" s="38">
        <v>2.27</v>
      </c>
    </row>
    <row r="4" spans="1:4" ht="15.75" customHeight="1" x14ac:dyDescent="0.15">
      <c r="A4" s="9" t="s">
        <v>44</v>
      </c>
      <c r="B4" s="238">
        <v>1</v>
      </c>
      <c r="C4" s="38">
        <v>2.9</v>
      </c>
      <c r="D4" s="38">
        <v>3.77</v>
      </c>
    </row>
    <row r="5" spans="1:4" ht="15.75" customHeight="1" x14ac:dyDescent="0.15">
      <c r="A5" s="35" t="s">
        <v>46</v>
      </c>
      <c r="B5" s="238">
        <v>1</v>
      </c>
      <c r="C5" s="38">
        <v>0.93</v>
      </c>
      <c r="D5" s="38">
        <v>2.27</v>
      </c>
    </row>
    <row r="6" spans="1:4" ht="15.75" customHeight="1" x14ac:dyDescent="0.15">
      <c r="A6" s="36" t="s">
        <v>47</v>
      </c>
      <c r="B6" s="238">
        <v>1.1000000000000001</v>
      </c>
      <c r="C6" s="38">
        <v>0.93</v>
      </c>
      <c r="D6" s="38">
        <v>2.27</v>
      </c>
    </row>
    <row r="7" spans="1:4" ht="15.75" customHeight="1" x14ac:dyDescent="0.15">
      <c r="A7" s="35" t="s">
        <v>49</v>
      </c>
      <c r="B7" s="238">
        <v>1</v>
      </c>
      <c r="C7" s="38">
        <v>0.97</v>
      </c>
      <c r="D7" s="38">
        <v>2.27</v>
      </c>
    </row>
    <row r="8" spans="1:4" ht="15.75" customHeight="1" x14ac:dyDescent="0.15">
      <c r="A8" s="239" t="s">
        <v>290</v>
      </c>
      <c r="B8" s="240">
        <v>1</v>
      </c>
      <c r="C8" s="241">
        <v>0.97</v>
      </c>
      <c r="D8" s="241">
        <v>2.17</v>
      </c>
    </row>
    <row r="9" spans="1:4" ht="15.75" customHeight="1" x14ac:dyDescent="0.15">
      <c r="A9" s="9" t="s">
        <v>50</v>
      </c>
      <c r="B9" s="238">
        <v>1</v>
      </c>
      <c r="C9" s="38">
        <v>0.93</v>
      </c>
      <c r="D9" s="38">
        <v>2.27</v>
      </c>
    </row>
    <row r="10" spans="1:4" ht="15.75" customHeight="1" x14ac:dyDescent="0.15">
      <c r="A10" s="9" t="s">
        <v>51</v>
      </c>
      <c r="B10" s="240">
        <v>1.83</v>
      </c>
      <c r="C10" s="242" t="s">
        <v>291</v>
      </c>
      <c r="D10" s="242" t="s">
        <v>292</v>
      </c>
    </row>
    <row r="11" spans="1:4" ht="15.75" customHeight="1" x14ac:dyDescent="0.15">
      <c r="A11" s="36" t="s">
        <v>52</v>
      </c>
      <c r="B11" s="238">
        <v>1</v>
      </c>
      <c r="C11" s="38">
        <v>1.33</v>
      </c>
      <c r="D11" s="38">
        <v>2.57</v>
      </c>
    </row>
    <row r="12" spans="1:4" ht="15.75" customHeight="1" x14ac:dyDescent="0.15">
      <c r="B12" s="243"/>
      <c r="C12" s="41"/>
      <c r="D12" s="41"/>
    </row>
    <row r="13" spans="1:4" ht="15.75" customHeight="1" x14ac:dyDescent="0.15">
      <c r="A13" s="1" t="s">
        <v>53</v>
      </c>
      <c r="B13" s="72" t="s">
        <v>287</v>
      </c>
      <c r="C13" s="4" t="s">
        <v>288</v>
      </c>
      <c r="D13" s="4" t="s">
        <v>289</v>
      </c>
    </row>
    <row r="14" spans="1:4" ht="15.75" customHeight="1" x14ac:dyDescent="0.15">
      <c r="A14" s="35" t="s">
        <v>55</v>
      </c>
      <c r="B14" s="238">
        <v>1</v>
      </c>
      <c r="C14" s="38">
        <v>1.07</v>
      </c>
      <c r="D14" s="38">
        <v>2.4700000000000002</v>
      </c>
    </row>
    <row r="15" spans="1:4" ht="15.75" customHeight="1" x14ac:dyDescent="0.15">
      <c r="A15" s="9" t="s">
        <v>56</v>
      </c>
      <c r="B15" s="238">
        <v>1</v>
      </c>
      <c r="C15" s="244">
        <v>0.54</v>
      </c>
      <c r="D15" s="245">
        <v>4.74</v>
      </c>
    </row>
    <row r="16" spans="1:4" ht="15.75" customHeight="1" x14ac:dyDescent="0.15">
      <c r="A16" s="36" t="s">
        <v>57</v>
      </c>
      <c r="B16" s="238">
        <v>1</v>
      </c>
      <c r="C16" s="246">
        <v>0.55000000000000004</v>
      </c>
      <c r="D16" s="247">
        <v>4.22</v>
      </c>
    </row>
    <row r="17" spans="1:4" ht="15.75" customHeight="1" x14ac:dyDescent="0.15">
      <c r="A17" s="9" t="s">
        <v>58</v>
      </c>
      <c r="B17" s="238">
        <v>1</v>
      </c>
      <c r="C17" s="246">
        <v>0.53</v>
      </c>
      <c r="D17" s="247">
        <v>4.22</v>
      </c>
    </row>
    <row r="18" spans="1:4" ht="15.75" customHeight="1" x14ac:dyDescent="0.15">
      <c r="B18" s="243"/>
      <c r="C18" s="41"/>
      <c r="D18" s="41"/>
    </row>
    <row r="19" spans="1:4" ht="15.75" customHeight="1" x14ac:dyDescent="0.15">
      <c r="A19" s="1" t="s">
        <v>59</v>
      </c>
      <c r="B19" s="72" t="s">
        <v>287</v>
      </c>
      <c r="C19" s="4" t="s">
        <v>288</v>
      </c>
      <c r="D19" s="4" t="s">
        <v>289</v>
      </c>
    </row>
    <row r="20" spans="1:4" ht="15.75" customHeight="1" x14ac:dyDescent="0.15">
      <c r="A20" s="9" t="s">
        <v>60</v>
      </c>
      <c r="B20" s="238">
        <v>1.1000000000000001</v>
      </c>
      <c r="C20" s="38">
        <v>1.17</v>
      </c>
      <c r="D20" s="38">
        <v>2.4300000000000002</v>
      </c>
    </row>
    <row r="21" spans="1:4" ht="15.75" customHeight="1" x14ac:dyDescent="0.15">
      <c r="A21" s="36" t="s">
        <v>62</v>
      </c>
      <c r="B21" s="238">
        <v>1</v>
      </c>
      <c r="C21" s="38">
        <v>1.27</v>
      </c>
      <c r="D21" s="38">
        <v>2.57</v>
      </c>
    </row>
    <row r="22" spans="1:4" ht="15.75" customHeight="1" x14ac:dyDescent="0.15">
      <c r="A22" s="9" t="s">
        <v>63</v>
      </c>
      <c r="B22" s="238">
        <v>1</v>
      </c>
      <c r="C22" s="38">
        <v>1.43</v>
      </c>
      <c r="D22" s="38">
        <v>3.13</v>
      </c>
    </row>
    <row r="23" spans="1:4" ht="15.75" customHeight="1" x14ac:dyDescent="0.15">
      <c r="A23" s="53" t="s">
        <v>64</v>
      </c>
      <c r="B23" s="238">
        <v>1</v>
      </c>
      <c r="C23" s="38">
        <v>1.97</v>
      </c>
      <c r="D23" s="38">
        <v>2.94</v>
      </c>
    </row>
    <row r="24" spans="1:4" ht="15.75" customHeight="1" x14ac:dyDescent="0.15">
      <c r="A24" s="35" t="s">
        <v>65</v>
      </c>
      <c r="B24" s="238">
        <v>1.2</v>
      </c>
      <c r="C24" s="38">
        <v>0.87</v>
      </c>
      <c r="D24" s="38">
        <v>2.13</v>
      </c>
    </row>
    <row r="25" spans="1:4" ht="15.75" customHeight="1" x14ac:dyDescent="0.15">
      <c r="A25" s="9" t="s">
        <v>66</v>
      </c>
      <c r="B25" s="238">
        <v>1</v>
      </c>
      <c r="C25" s="38">
        <v>1.97</v>
      </c>
      <c r="D25" s="38">
        <v>3.37</v>
      </c>
    </row>
    <row r="26" spans="1:4" ht="15.75" customHeight="1" x14ac:dyDescent="0.15">
      <c r="A26" s="9" t="s">
        <v>67</v>
      </c>
      <c r="B26" s="238">
        <v>1</v>
      </c>
      <c r="C26" s="38">
        <v>1.5</v>
      </c>
      <c r="D26" s="38">
        <v>3.43</v>
      </c>
    </row>
    <row r="27" spans="1:4" ht="15.75" customHeight="1" x14ac:dyDescent="0.15">
      <c r="B27" s="243"/>
      <c r="C27" s="41"/>
      <c r="D27" s="41"/>
    </row>
    <row r="28" spans="1:4" ht="15.75" customHeight="1" x14ac:dyDescent="0.15">
      <c r="A28" s="1" t="s">
        <v>68</v>
      </c>
      <c r="B28" s="72" t="s">
        <v>287</v>
      </c>
      <c r="C28" s="4" t="s">
        <v>288</v>
      </c>
      <c r="D28" s="4" t="s">
        <v>289</v>
      </c>
    </row>
    <row r="29" spans="1:4" ht="15.75" customHeight="1" x14ac:dyDescent="0.15">
      <c r="A29" s="36" t="s">
        <v>70</v>
      </c>
      <c r="B29" s="238">
        <v>1</v>
      </c>
      <c r="C29" s="38">
        <v>1.17</v>
      </c>
      <c r="D29" s="38">
        <v>2.4300000000000002</v>
      </c>
    </row>
    <row r="30" spans="1:4" ht="15.75" customHeight="1" x14ac:dyDescent="0.15">
      <c r="A30" s="35" t="s">
        <v>71</v>
      </c>
      <c r="B30" s="238">
        <v>1.17</v>
      </c>
      <c r="C30" s="38">
        <v>1.53</v>
      </c>
      <c r="D30" s="38">
        <v>3.77</v>
      </c>
    </row>
    <row r="31" spans="1:4" ht="15.75" customHeight="1" x14ac:dyDescent="0.15">
      <c r="A31" s="35" t="s">
        <v>73</v>
      </c>
      <c r="B31" s="238">
        <v>1</v>
      </c>
      <c r="C31" s="38">
        <v>1.63</v>
      </c>
      <c r="D31" s="38">
        <v>3.3</v>
      </c>
    </row>
    <row r="32" spans="1:4" ht="15.75" customHeight="1" x14ac:dyDescent="0.15">
      <c r="A32" s="36" t="s">
        <v>75</v>
      </c>
      <c r="B32" s="238">
        <v>1.1000000000000001</v>
      </c>
      <c r="C32" s="38">
        <v>1.17</v>
      </c>
      <c r="D32" s="38">
        <v>3.03</v>
      </c>
    </row>
    <row r="33" spans="1:4" ht="15.75" customHeight="1" x14ac:dyDescent="0.15">
      <c r="A33" s="35" t="s">
        <v>76</v>
      </c>
      <c r="B33" s="238">
        <v>1.1299999999999999</v>
      </c>
      <c r="C33" s="38">
        <v>1.37</v>
      </c>
      <c r="D33" s="38">
        <v>3.07</v>
      </c>
    </row>
    <row r="34" spans="1:4" ht="15.75" customHeight="1" x14ac:dyDescent="0.15">
      <c r="A34" s="239" t="s">
        <v>293</v>
      </c>
      <c r="B34" s="240">
        <v>1.1299999999999999</v>
      </c>
      <c r="C34" s="241">
        <v>1.37</v>
      </c>
      <c r="D34" s="241">
        <v>3.07</v>
      </c>
    </row>
    <row r="35" spans="1:4" ht="15.75" customHeight="1" x14ac:dyDescent="0.15">
      <c r="A35" s="36" t="s">
        <v>77</v>
      </c>
      <c r="B35" s="238">
        <v>1</v>
      </c>
      <c r="C35" s="38">
        <v>1.03</v>
      </c>
      <c r="D35" s="38">
        <v>2.77</v>
      </c>
    </row>
    <row r="36" spans="1:4" ht="15.75" customHeight="1" x14ac:dyDescent="0.15">
      <c r="B36" s="243"/>
      <c r="C36" s="41"/>
      <c r="D36" s="41"/>
    </row>
    <row r="37" spans="1:4" ht="15.75" customHeight="1" x14ac:dyDescent="0.15">
      <c r="A37" s="1" t="s">
        <v>79</v>
      </c>
      <c r="B37" s="72" t="s">
        <v>287</v>
      </c>
      <c r="C37" s="4" t="s">
        <v>288</v>
      </c>
      <c r="D37" s="4" t="s">
        <v>289</v>
      </c>
    </row>
    <row r="38" spans="1:4" ht="15.75" customHeight="1" x14ac:dyDescent="0.15">
      <c r="A38" s="9" t="s">
        <v>80</v>
      </c>
      <c r="B38" s="238" t="s">
        <v>294</v>
      </c>
      <c r="C38" s="38">
        <v>3.73</v>
      </c>
      <c r="D38" s="38">
        <v>5.7</v>
      </c>
    </row>
    <row r="39" spans="1:4" ht="15.75" customHeight="1" x14ac:dyDescent="0.15">
      <c r="A39" s="9" t="s">
        <v>81</v>
      </c>
      <c r="B39" s="238" t="s">
        <v>294</v>
      </c>
      <c r="C39" s="38">
        <v>3.83</v>
      </c>
      <c r="D39" s="38">
        <v>5.7</v>
      </c>
    </row>
    <row r="40" spans="1:4" ht="15.75" customHeight="1" x14ac:dyDescent="0.15">
      <c r="B40" s="243"/>
      <c r="C40" s="41"/>
      <c r="D40" s="41"/>
    </row>
    <row r="41" spans="1:4" ht="15.75" customHeight="1" x14ac:dyDescent="0.15">
      <c r="A41" s="1" t="s">
        <v>82</v>
      </c>
      <c r="B41" s="72" t="s">
        <v>287</v>
      </c>
      <c r="C41" s="4" t="s">
        <v>288</v>
      </c>
      <c r="D41" s="4" t="s">
        <v>289</v>
      </c>
    </row>
    <row r="42" spans="1:4" ht="15.75" customHeight="1" x14ac:dyDescent="0.15">
      <c r="A42" s="9" t="s">
        <v>83</v>
      </c>
      <c r="B42" s="238">
        <v>1.25</v>
      </c>
      <c r="C42" s="38">
        <v>2</v>
      </c>
      <c r="D42" s="38">
        <v>3.67</v>
      </c>
    </row>
    <row r="43" spans="1:4" ht="15.75" customHeight="1" x14ac:dyDescent="0.15">
      <c r="A43" s="36" t="s">
        <v>85</v>
      </c>
      <c r="B43" s="238">
        <v>1</v>
      </c>
      <c r="C43" s="38">
        <v>2.6</v>
      </c>
      <c r="D43" s="38">
        <v>4.67</v>
      </c>
    </row>
    <row r="44" spans="1:4" ht="15.75" customHeight="1" x14ac:dyDescent="0.15">
      <c r="A44" s="35" t="s">
        <v>87</v>
      </c>
      <c r="B44" s="238">
        <v>1</v>
      </c>
      <c r="C44" s="38">
        <v>1.4</v>
      </c>
      <c r="D44" s="38">
        <v>3.07</v>
      </c>
    </row>
    <row r="45" spans="1:4" ht="15.75" customHeight="1" x14ac:dyDescent="0.15">
      <c r="A45" s="9" t="s">
        <v>90</v>
      </c>
      <c r="B45" s="238">
        <v>1</v>
      </c>
      <c r="C45" s="38">
        <v>1.97</v>
      </c>
      <c r="D45" s="38">
        <v>3.7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6"/>
  <sheetViews>
    <sheetView workbookViewId="0"/>
  </sheetViews>
  <sheetFormatPr baseColWidth="10" defaultColWidth="14.5" defaultRowHeight="12.75" customHeight="1" x14ac:dyDescent="0.15"/>
  <cols>
    <col min="3" max="3" width="24.5" customWidth="1"/>
  </cols>
  <sheetData>
    <row r="1" spans="1:3" ht="15.75" customHeight="1" x14ac:dyDescent="0.15">
      <c r="A1" s="248" t="s">
        <v>295</v>
      </c>
      <c r="B1" s="249" t="s">
        <v>296</v>
      </c>
      <c r="C1" s="179"/>
    </row>
    <row r="2" spans="1:3" ht="15.75" customHeight="1" x14ac:dyDescent="0.15">
      <c r="A2" s="248" t="s">
        <v>297</v>
      </c>
      <c r="B2" s="248" t="s">
        <v>298</v>
      </c>
      <c r="C2" s="248" t="s">
        <v>299</v>
      </c>
    </row>
    <row r="3" spans="1:3" ht="15.75" customHeight="1" x14ac:dyDescent="0.15">
      <c r="A3" s="248" t="s">
        <v>300</v>
      </c>
      <c r="B3" s="248" t="s">
        <v>301</v>
      </c>
      <c r="C3" s="249" t="s">
        <v>302</v>
      </c>
    </row>
    <row r="4" spans="1:3" ht="15.75" customHeight="1" x14ac:dyDescent="0.15">
      <c r="A4" s="248" t="s">
        <v>303</v>
      </c>
      <c r="B4" s="248" t="s">
        <v>304</v>
      </c>
      <c r="C4" s="179"/>
    </row>
    <row r="5" spans="1:3" ht="15.75" customHeight="1" x14ac:dyDescent="0.15">
      <c r="A5" s="179"/>
      <c r="B5" s="179"/>
      <c r="C5" s="179"/>
    </row>
    <row r="6" spans="1:3" ht="15.75" customHeight="1" x14ac:dyDescent="0.15">
      <c r="A6" s="248" t="s">
        <v>305</v>
      </c>
      <c r="B6" s="249" t="s">
        <v>306</v>
      </c>
      <c r="C6" s="249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0" width="11.6640625" customWidth="1"/>
    <col min="51" max="51" width="12.5" customWidth="1"/>
    <col min="52" max="53" width="11.6640625" customWidth="1"/>
  </cols>
  <sheetData>
    <row r="1" spans="1:53" ht="15.75" customHeight="1" x14ac:dyDescent="0.15">
      <c r="A1" s="1" t="s">
        <v>0</v>
      </c>
      <c r="B1" s="66" t="s">
        <v>92</v>
      </c>
      <c r="C1" s="2" t="s">
        <v>3</v>
      </c>
      <c r="D1" s="67" t="s">
        <v>93</v>
      </c>
      <c r="E1" s="68" t="s">
        <v>94</v>
      </c>
      <c r="F1" s="69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4</v>
      </c>
      <c r="P1" s="2" t="s">
        <v>104</v>
      </c>
      <c r="Q1" s="70" t="s">
        <v>105</v>
      </c>
      <c r="R1" s="71" t="s">
        <v>106</v>
      </c>
      <c r="S1" s="4" t="s">
        <v>107</v>
      </c>
      <c r="T1" s="4" t="s">
        <v>108</v>
      </c>
      <c r="U1" s="4" t="s">
        <v>109</v>
      </c>
      <c r="V1" s="4" t="s">
        <v>110</v>
      </c>
      <c r="W1" s="4" t="s">
        <v>111</v>
      </c>
      <c r="X1" s="72" t="s">
        <v>112</v>
      </c>
      <c r="Y1" s="72" t="s">
        <v>113</v>
      </c>
      <c r="Z1" s="72" t="s">
        <v>114</v>
      </c>
      <c r="AA1" s="69" t="s">
        <v>115</v>
      </c>
      <c r="AB1" s="69" t="s">
        <v>116</v>
      </c>
      <c r="AC1" s="7" t="s">
        <v>117</v>
      </c>
      <c r="AD1" s="7" t="s">
        <v>118</v>
      </c>
      <c r="AE1" s="7" t="s">
        <v>119</v>
      </c>
      <c r="AF1" s="7" t="s">
        <v>120</v>
      </c>
      <c r="AG1" s="2" t="s">
        <v>121</v>
      </c>
      <c r="AH1" s="8" t="s">
        <v>122</v>
      </c>
      <c r="AI1" s="2" t="s">
        <v>123</v>
      </c>
      <c r="AJ1" s="2" t="s">
        <v>124</v>
      </c>
      <c r="AK1" s="2" t="s">
        <v>125</v>
      </c>
      <c r="AL1" s="2" t="s">
        <v>126</v>
      </c>
      <c r="AM1" s="2" t="s">
        <v>127</v>
      </c>
      <c r="AN1" s="2" t="s">
        <v>128</v>
      </c>
      <c r="AO1" s="73" t="s">
        <v>129</v>
      </c>
      <c r="AP1" s="2" t="s">
        <v>130</v>
      </c>
      <c r="AQ1" s="2" t="s">
        <v>131</v>
      </c>
      <c r="AR1" s="74" t="s">
        <v>132</v>
      </c>
      <c r="AS1" s="8" t="s">
        <v>133</v>
      </c>
      <c r="AT1" s="2" t="s">
        <v>134</v>
      </c>
      <c r="AU1" s="2" t="s">
        <v>135</v>
      </c>
      <c r="AV1" s="2" t="s">
        <v>136</v>
      </c>
      <c r="AW1" s="2" t="s">
        <v>137</v>
      </c>
      <c r="AX1" s="2" t="s">
        <v>138</v>
      </c>
      <c r="AY1" s="4" t="s">
        <v>139</v>
      </c>
      <c r="AZ1" s="4" t="s">
        <v>140</v>
      </c>
      <c r="BA1" s="4" t="s">
        <v>141</v>
      </c>
    </row>
    <row r="2" spans="1:53" ht="15.75" customHeight="1" x14ac:dyDescent="0.15">
      <c r="A2" s="9" t="s">
        <v>142</v>
      </c>
      <c r="B2" s="75">
        <v>1.8640000000000001</v>
      </c>
      <c r="C2" s="32">
        <v>53</v>
      </c>
      <c r="D2" s="76">
        <v>0.85</v>
      </c>
      <c r="E2" s="77">
        <v>3.9</v>
      </c>
      <c r="F2" s="78">
        <v>0.22500000000000001</v>
      </c>
      <c r="G2" s="17">
        <v>2</v>
      </c>
      <c r="H2" s="27">
        <v>300</v>
      </c>
      <c r="I2" s="17">
        <v>230</v>
      </c>
      <c r="J2" s="17">
        <v>7</v>
      </c>
      <c r="K2" s="27">
        <v>700</v>
      </c>
      <c r="L2" s="17">
        <v>4096</v>
      </c>
      <c r="M2" s="17" t="s">
        <v>143</v>
      </c>
      <c r="N2" s="17">
        <v>0</v>
      </c>
      <c r="O2" s="17">
        <v>1</v>
      </c>
      <c r="P2" s="17">
        <v>1</v>
      </c>
      <c r="Q2" s="20">
        <v>0.4</v>
      </c>
      <c r="R2" s="79">
        <v>0.55000000000000004</v>
      </c>
      <c r="S2" s="38">
        <v>2</v>
      </c>
      <c r="T2" s="38">
        <v>2.1800000000000002</v>
      </c>
      <c r="U2" s="38">
        <v>4.2</v>
      </c>
      <c r="V2" s="38">
        <v>72.23</v>
      </c>
      <c r="W2" s="38">
        <v>48.1</v>
      </c>
      <c r="X2" s="80">
        <v>40.549999</v>
      </c>
      <c r="Y2" s="81">
        <v>548.82000700000003</v>
      </c>
      <c r="Z2" s="81">
        <v>331.54998799999998</v>
      </c>
      <c r="AA2" s="78">
        <v>4.2999999999999997E-2</v>
      </c>
      <c r="AB2" s="78">
        <v>152</v>
      </c>
      <c r="AC2" s="33">
        <v>0.44992700000000002</v>
      </c>
      <c r="AD2" s="33">
        <f t="shared" ref="AD2:AD4" si="0">AC2</f>
        <v>0.44992700000000002</v>
      </c>
      <c r="AE2" s="33">
        <v>0.81120000000000003</v>
      </c>
      <c r="AF2" s="33">
        <f t="shared" ref="AF2:AF4" si="1">AE2</f>
        <v>0.81120000000000003</v>
      </c>
      <c r="AG2" s="17">
        <v>60</v>
      </c>
      <c r="AH2" s="64">
        <v>48.2</v>
      </c>
      <c r="AI2" s="17">
        <v>18</v>
      </c>
      <c r="AJ2" s="15"/>
      <c r="AK2" s="15"/>
      <c r="AL2" s="15"/>
      <c r="AM2" s="15"/>
      <c r="AN2" s="15"/>
      <c r="AO2" s="82"/>
      <c r="AP2" s="83"/>
      <c r="AQ2" s="83"/>
      <c r="AR2" s="84"/>
      <c r="AS2" s="23"/>
      <c r="AT2" s="49"/>
      <c r="AU2" s="49"/>
      <c r="AV2" s="49"/>
      <c r="AW2" s="49"/>
      <c r="AX2" s="49"/>
      <c r="AY2" s="85"/>
      <c r="AZ2" s="85"/>
      <c r="BA2" s="85"/>
    </row>
    <row r="3" spans="1:53" ht="15.75" customHeight="1" x14ac:dyDescent="0.15">
      <c r="A3" s="9" t="s">
        <v>144</v>
      </c>
      <c r="B3" s="75">
        <v>1.8640000000000001</v>
      </c>
      <c r="C3" s="17">
        <v>86</v>
      </c>
      <c r="D3" s="76">
        <v>0.94</v>
      </c>
      <c r="E3" s="77">
        <v>4</v>
      </c>
      <c r="F3" s="78">
        <v>0.5</v>
      </c>
      <c r="G3" s="17">
        <v>2</v>
      </c>
      <c r="H3" s="27">
        <v>300</v>
      </c>
      <c r="I3" s="17">
        <v>180</v>
      </c>
      <c r="J3" s="17">
        <v>8</v>
      </c>
      <c r="K3" s="27">
        <v>600</v>
      </c>
      <c r="L3" s="17">
        <v>4096</v>
      </c>
      <c r="M3" s="17" t="s">
        <v>143</v>
      </c>
      <c r="N3" s="17">
        <v>1</v>
      </c>
      <c r="O3" s="17">
        <v>1</v>
      </c>
      <c r="P3" s="17">
        <v>1</v>
      </c>
      <c r="Q3" s="20">
        <v>0.4</v>
      </c>
      <c r="R3" s="79">
        <v>0.4</v>
      </c>
      <c r="S3" s="38">
        <v>0.52</v>
      </c>
      <c r="T3" s="38">
        <v>1</v>
      </c>
      <c r="U3" s="38">
        <v>2</v>
      </c>
      <c r="V3" s="38">
        <v>50</v>
      </c>
      <c r="W3" s="38">
        <v>6.5</v>
      </c>
      <c r="X3" s="86">
        <v>53.23</v>
      </c>
      <c r="Y3" s="87">
        <v>18.649999999999999</v>
      </c>
      <c r="Z3" s="88">
        <v>0</v>
      </c>
      <c r="AA3" s="78">
        <v>0.13</v>
      </c>
      <c r="AB3" s="78">
        <v>12</v>
      </c>
      <c r="AC3" s="33">
        <v>0.7</v>
      </c>
      <c r="AD3" s="33">
        <f t="shared" si="0"/>
        <v>0.7</v>
      </c>
      <c r="AE3" s="33">
        <v>0.9</v>
      </c>
      <c r="AF3" s="33">
        <f t="shared" si="1"/>
        <v>0.9</v>
      </c>
      <c r="AG3" s="17">
        <v>40</v>
      </c>
      <c r="AH3" s="64">
        <v>20</v>
      </c>
      <c r="AI3" s="17">
        <v>0</v>
      </c>
      <c r="AJ3" s="38">
        <v>68</v>
      </c>
      <c r="AK3" s="38">
        <v>5</v>
      </c>
      <c r="AL3" s="38">
        <v>12</v>
      </c>
      <c r="AM3" s="38">
        <v>55</v>
      </c>
      <c r="AN3" s="38">
        <v>36</v>
      </c>
      <c r="AO3" s="89">
        <v>53.23</v>
      </c>
      <c r="AP3" s="78">
        <v>0.15</v>
      </c>
      <c r="AQ3" s="78">
        <v>35</v>
      </c>
      <c r="AR3" s="90">
        <v>50</v>
      </c>
      <c r="AS3" s="64">
        <v>45</v>
      </c>
      <c r="AT3" s="91">
        <v>6</v>
      </c>
      <c r="AU3" s="91">
        <v>220</v>
      </c>
      <c r="AV3" s="92">
        <v>1</v>
      </c>
      <c r="AW3" s="49"/>
      <c r="AX3" s="49"/>
      <c r="AY3" s="93">
        <v>0.4</v>
      </c>
      <c r="AZ3" s="85"/>
      <c r="BA3" s="85"/>
    </row>
    <row r="4" spans="1:53" ht="15.75" customHeight="1" x14ac:dyDescent="0.15">
      <c r="A4" s="9" t="s">
        <v>145</v>
      </c>
      <c r="B4" s="75">
        <v>1.1499999999999999</v>
      </c>
      <c r="C4" s="17">
        <v>38</v>
      </c>
      <c r="D4" s="76">
        <v>0.79</v>
      </c>
      <c r="E4" s="77">
        <v>4</v>
      </c>
      <c r="F4" s="78">
        <v>0.12</v>
      </c>
      <c r="G4" s="17">
        <v>1</v>
      </c>
      <c r="H4" s="27">
        <v>300</v>
      </c>
      <c r="I4" s="17">
        <v>240</v>
      </c>
      <c r="J4" s="17">
        <v>30</v>
      </c>
      <c r="K4" s="27">
        <v>300</v>
      </c>
      <c r="L4" s="17">
        <v>4096</v>
      </c>
      <c r="M4" s="17" t="s">
        <v>143</v>
      </c>
      <c r="N4" s="17">
        <v>0</v>
      </c>
      <c r="O4" s="17">
        <v>1</v>
      </c>
      <c r="P4" s="17">
        <v>0</v>
      </c>
      <c r="Q4" s="20">
        <v>0.5</v>
      </c>
      <c r="R4" s="79">
        <v>0.65</v>
      </c>
      <c r="S4" s="38">
        <v>2</v>
      </c>
      <c r="T4" s="38">
        <v>5.25</v>
      </c>
      <c r="U4" s="38">
        <v>7</v>
      </c>
      <c r="V4" s="38">
        <v>11.16</v>
      </c>
      <c r="W4" s="38">
        <v>17.850000000000001</v>
      </c>
      <c r="X4" s="86">
        <v>158.41999799999999</v>
      </c>
      <c r="Y4" s="87">
        <v>95.860000999999997</v>
      </c>
      <c r="Z4" s="88">
        <v>0</v>
      </c>
      <c r="AA4" s="78">
        <v>0.255</v>
      </c>
      <c r="AB4" s="78">
        <v>102</v>
      </c>
      <c r="AC4" s="33">
        <v>0.43749100000000002</v>
      </c>
      <c r="AD4" s="33">
        <f t="shared" si="0"/>
        <v>0.43749100000000002</v>
      </c>
      <c r="AE4" s="33">
        <v>0.52498900000000004</v>
      </c>
      <c r="AF4" s="33">
        <f t="shared" si="1"/>
        <v>0.52498900000000004</v>
      </c>
      <c r="AG4" s="17">
        <v>20</v>
      </c>
      <c r="AH4" s="64">
        <v>27</v>
      </c>
      <c r="AI4" s="17">
        <v>4</v>
      </c>
      <c r="AJ4" s="38">
        <v>2</v>
      </c>
      <c r="AK4" s="38">
        <v>7.5</v>
      </c>
      <c r="AL4" s="38">
        <v>10</v>
      </c>
      <c r="AM4" s="38">
        <v>11.96</v>
      </c>
      <c r="AN4" s="38">
        <v>17.850000000000001</v>
      </c>
      <c r="AO4" s="89">
        <v>158.41999799999999</v>
      </c>
      <c r="AP4" s="78">
        <v>0.255</v>
      </c>
      <c r="AQ4" s="78">
        <v>102</v>
      </c>
      <c r="AR4" s="90">
        <v>20</v>
      </c>
      <c r="AS4" s="64">
        <v>27</v>
      </c>
      <c r="AT4" s="92">
        <v>4</v>
      </c>
      <c r="AU4" s="92">
        <v>240</v>
      </c>
      <c r="AV4" s="92">
        <v>0</v>
      </c>
      <c r="AW4" s="49"/>
      <c r="AX4" s="49"/>
      <c r="AY4" s="85"/>
      <c r="AZ4" s="85"/>
      <c r="BA4" s="85"/>
    </row>
    <row r="5" spans="1:53" ht="15.75" customHeight="1" x14ac:dyDescent="0.15">
      <c r="A5" s="35" t="s">
        <v>146</v>
      </c>
      <c r="B5" s="75">
        <v>1.823</v>
      </c>
      <c r="C5" s="17">
        <v>32</v>
      </c>
      <c r="D5" s="76">
        <v>0.81</v>
      </c>
      <c r="E5" s="77">
        <v>4</v>
      </c>
      <c r="F5" s="78">
        <v>0.15</v>
      </c>
      <c r="G5" s="17">
        <v>1</v>
      </c>
      <c r="H5" s="27">
        <v>300</v>
      </c>
      <c r="I5" s="17">
        <v>240</v>
      </c>
      <c r="J5" s="17">
        <v>20</v>
      </c>
      <c r="K5" s="27">
        <v>500</v>
      </c>
      <c r="L5" s="17">
        <v>4096</v>
      </c>
      <c r="M5" s="17" t="s">
        <v>143</v>
      </c>
      <c r="N5" s="17">
        <v>0</v>
      </c>
      <c r="O5" s="17">
        <v>1</v>
      </c>
      <c r="P5" s="17">
        <v>1</v>
      </c>
      <c r="Q5" s="20">
        <v>0.5</v>
      </c>
      <c r="R5" s="79">
        <v>0.65</v>
      </c>
      <c r="S5" s="38">
        <v>2</v>
      </c>
      <c r="T5" s="38">
        <v>6.83</v>
      </c>
      <c r="U5" s="38">
        <v>9.1</v>
      </c>
      <c r="V5" s="38">
        <v>25</v>
      </c>
      <c r="W5" s="38">
        <v>40</v>
      </c>
      <c r="X5" s="86">
        <v>89.699996999999996</v>
      </c>
      <c r="Y5" s="87">
        <v>99.879997000000003</v>
      </c>
      <c r="Z5" s="88">
        <v>0</v>
      </c>
      <c r="AA5" s="78">
        <v>0.19</v>
      </c>
      <c r="AB5" s="78">
        <v>138</v>
      </c>
      <c r="AC5" s="33">
        <v>0.2</v>
      </c>
      <c r="AD5" s="33">
        <v>0.5</v>
      </c>
      <c r="AE5" s="33">
        <v>0.2</v>
      </c>
      <c r="AF5" s="33">
        <v>0.5</v>
      </c>
      <c r="AG5" s="17">
        <v>5</v>
      </c>
      <c r="AH5" s="64">
        <v>25</v>
      </c>
      <c r="AI5" s="17">
        <v>4</v>
      </c>
      <c r="AJ5" s="15"/>
      <c r="AK5" s="15"/>
      <c r="AL5" s="15"/>
      <c r="AM5" s="15"/>
      <c r="AN5" s="15"/>
      <c r="AO5" s="82"/>
      <c r="AP5" s="83"/>
      <c r="AQ5" s="83"/>
      <c r="AR5" s="84"/>
      <c r="AS5" s="23"/>
      <c r="AT5" s="49"/>
      <c r="AU5" s="49"/>
      <c r="AV5" s="49"/>
      <c r="AW5" s="49"/>
      <c r="AX5" s="49"/>
      <c r="AY5" s="85"/>
      <c r="AZ5" s="85"/>
      <c r="BA5" s="85"/>
    </row>
    <row r="6" spans="1:53" ht="15.75" customHeight="1" x14ac:dyDescent="0.15">
      <c r="A6" s="36" t="s">
        <v>147</v>
      </c>
      <c r="B6" s="75">
        <v>0.94</v>
      </c>
      <c r="C6" s="32">
        <v>30</v>
      </c>
      <c r="D6" s="76">
        <v>0.85</v>
      </c>
      <c r="E6" s="77">
        <v>4</v>
      </c>
      <c r="F6" s="78">
        <v>0.15</v>
      </c>
      <c r="G6" s="17">
        <v>1</v>
      </c>
      <c r="H6" s="27">
        <v>300</v>
      </c>
      <c r="I6" s="17">
        <v>240</v>
      </c>
      <c r="J6" s="17">
        <v>20</v>
      </c>
      <c r="K6" s="27">
        <v>200</v>
      </c>
      <c r="L6" s="17">
        <v>4096</v>
      </c>
      <c r="M6" s="17" t="s">
        <v>143</v>
      </c>
      <c r="N6" s="17">
        <v>0</v>
      </c>
      <c r="O6" s="17">
        <v>1</v>
      </c>
      <c r="P6" s="17">
        <v>1</v>
      </c>
      <c r="Q6" s="20">
        <v>0.5</v>
      </c>
      <c r="R6" s="79">
        <v>0.65</v>
      </c>
      <c r="S6" s="38">
        <v>2</v>
      </c>
      <c r="T6" s="38">
        <v>4.2</v>
      </c>
      <c r="U6" s="38">
        <v>5.6</v>
      </c>
      <c r="V6" s="38">
        <v>56</v>
      </c>
      <c r="W6" s="38">
        <v>10</v>
      </c>
      <c r="X6" s="86">
        <v>87.870002999999997</v>
      </c>
      <c r="Y6" s="87">
        <v>96.620002999999997</v>
      </c>
      <c r="Z6" s="88">
        <v>0</v>
      </c>
      <c r="AA6" s="78">
        <v>0.185</v>
      </c>
      <c r="AB6" s="78">
        <v>137</v>
      </c>
      <c r="AC6" s="33">
        <v>0.2</v>
      </c>
      <c r="AD6" s="33">
        <v>0.33</v>
      </c>
      <c r="AE6" s="33">
        <v>0.2</v>
      </c>
      <c r="AF6" s="33">
        <v>0.33</v>
      </c>
      <c r="AG6" s="17">
        <v>20</v>
      </c>
      <c r="AH6" s="64">
        <v>18</v>
      </c>
      <c r="AI6" s="17">
        <v>0</v>
      </c>
      <c r="AJ6" s="38">
        <v>15</v>
      </c>
      <c r="AK6" s="38">
        <v>3</v>
      </c>
      <c r="AL6" s="38">
        <v>5.6</v>
      </c>
      <c r="AM6" s="38">
        <v>45</v>
      </c>
      <c r="AN6" s="38">
        <v>12.95</v>
      </c>
      <c r="AO6" s="89">
        <v>87.870002999999997</v>
      </c>
      <c r="AP6" s="78">
        <v>0.185</v>
      </c>
      <c r="AQ6" s="78">
        <v>119.25</v>
      </c>
      <c r="AR6" s="90">
        <v>20</v>
      </c>
      <c r="AS6" s="64">
        <v>30</v>
      </c>
      <c r="AT6" s="17">
        <v>5</v>
      </c>
      <c r="AU6" s="92">
        <v>240</v>
      </c>
      <c r="AV6" s="92">
        <v>1</v>
      </c>
      <c r="AW6" s="49"/>
      <c r="AX6" s="49"/>
      <c r="AY6" s="85"/>
      <c r="AZ6" s="38">
        <v>0.5</v>
      </c>
      <c r="BA6" s="38">
        <v>0.05</v>
      </c>
    </row>
    <row r="7" spans="1:53" ht="15.75" customHeight="1" x14ac:dyDescent="0.15">
      <c r="A7" s="35" t="s">
        <v>148</v>
      </c>
      <c r="B7" s="75">
        <v>1.01</v>
      </c>
      <c r="C7" s="17">
        <v>35</v>
      </c>
      <c r="D7" s="76">
        <v>0.91</v>
      </c>
      <c r="E7" s="77">
        <v>4</v>
      </c>
      <c r="F7" s="78">
        <v>0.17</v>
      </c>
      <c r="G7" s="17">
        <v>1</v>
      </c>
      <c r="H7" s="27">
        <v>300</v>
      </c>
      <c r="I7" s="17">
        <v>240</v>
      </c>
      <c r="J7" s="17">
        <v>13</v>
      </c>
      <c r="K7" s="27">
        <v>200</v>
      </c>
      <c r="L7" s="17">
        <v>4096</v>
      </c>
      <c r="M7" s="17" t="s">
        <v>143</v>
      </c>
      <c r="N7" s="17">
        <v>0</v>
      </c>
      <c r="O7" s="17">
        <v>1</v>
      </c>
      <c r="P7" s="17">
        <v>1</v>
      </c>
      <c r="Q7" s="20">
        <v>0.5</v>
      </c>
      <c r="R7" s="79">
        <v>0.65</v>
      </c>
      <c r="S7" s="38">
        <v>2</v>
      </c>
      <c r="T7" s="38">
        <v>3.68</v>
      </c>
      <c r="U7" s="38">
        <v>4.9000000000000004</v>
      </c>
      <c r="V7" s="38">
        <v>50</v>
      </c>
      <c r="W7" s="38">
        <v>13</v>
      </c>
      <c r="X7" s="86">
        <v>94.480002999999996</v>
      </c>
      <c r="Y7" s="87">
        <v>96.599997999999999</v>
      </c>
      <c r="Z7" s="88">
        <v>0</v>
      </c>
      <c r="AA7" s="78">
        <v>0.191</v>
      </c>
      <c r="AB7" s="78">
        <v>138.32</v>
      </c>
      <c r="AC7" s="33">
        <v>0.29127700000000001</v>
      </c>
      <c r="AD7" s="33">
        <f t="shared" ref="AD7:AD9" si="2">AC7</f>
        <v>0.29127700000000001</v>
      </c>
      <c r="AE7" s="33">
        <v>0.34953200000000001</v>
      </c>
      <c r="AF7" s="33">
        <f t="shared" ref="AF7:AF9" si="3">AE7</f>
        <v>0.34953200000000001</v>
      </c>
      <c r="AG7" s="17">
        <v>0</v>
      </c>
      <c r="AH7" s="64">
        <v>26</v>
      </c>
      <c r="AI7" s="17">
        <v>0</v>
      </c>
      <c r="AJ7" s="38"/>
      <c r="AK7" s="38"/>
      <c r="AL7" s="38"/>
      <c r="AM7" s="38"/>
      <c r="AN7" s="38"/>
      <c r="AO7" s="89"/>
      <c r="AP7" s="78"/>
      <c r="AQ7" s="78"/>
      <c r="AR7" s="84"/>
      <c r="AS7" s="23"/>
      <c r="AT7" s="49"/>
      <c r="AU7" s="49"/>
      <c r="AV7" s="49"/>
      <c r="AW7" s="49"/>
      <c r="AX7" s="49"/>
      <c r="AY7" s="85"/>
      <c r="AZ7" s="85"/>
      <c r="BA7" s="85"/>
    </row>
    <row r="8" spans="1:53" ht="15.75" customHeight="1" x14ac:dyDescent="0.15">
      <c r="A8" s="35" t="s">
        <v>149</v>
      </c>
      <c r="B8" s="75">
        <v>1.01</v>
      </c>
      <c r="C8" s="17">
        <v>35</v>
      </c>
      <c r="D8" s="76">
        <v>0.91</v>
      </c>
      <c r="E8" s="77">
        <v>4</v>
      </c>
      <c r="F8" s="78">
        <v>0.17</v>
      </c>
      <c r="G8" s="17">
        <v>1</v>
      </c>
      <c r="H8" s="27">
        <v>300</v>
      </c>
      <c r="I8" s="17">
        <v>240</v>
      </c>
      <c r="J8" s="17">
        <v>12</v>
      </c>
      <c r="K8" s="27">
        <v>200</v>
      </c>
      <c r="L8" s="17">
        <v>4096</v>
      </c>
      <c r="M8" s="17" t="s">
        <v>143</v>
      </c>
      <c r="N8" s="17">
        <v>0</v>
      </c>
      <c r="O8" s="17">
        <v>1</v>
      </c>
      <c r="P8" s="17">
        <v>1</v>
      </c>
      <c r="Q8" s="20">
        <v>0.5</v>
      </c>
      <c r="R8" s="79">
        <v>0.65</v>
      </c>
      <c r="S8" s="38">
        <v>2.5</v>
      </c>
      <c r="T8" s="38">
        <v>3.68</v>
      </c>
      <c r="U8" s="38">
        <v>4.9000000000000004</v>
      </c>
      <c r="V8" s="38">
        <v>71</v>
      </c>
      <c r="W8" s="38">
        <v>13.87</v>
      </c>
      <c r="X8" s="86">
        <v>94.480002999999996</v>
      </c>
      <c r="Y8" s="87">
        <v>96.599997999999999</v>
      </c>
      <c r="Z8" s="88">
        <v>0</v>
      </c>
      <c r="AA8" s="78">
        <v>0.191</v>
      </c>
      <c r="AB8" s="78">
        <v>138.32</v>
      </c>
      <c r="AC8" s="33">
        <v>0.29127700000000001</v>
      </c>
      <c r="AD8" s="33">
        <f t="shared" si="2"/>
        <v>0.29127700000000001</v>
      </c>
      <c r="AE8" s="33">
        <v>0.34953200000000001</v>
      </c>
      <c r="AF8" s="33">
        <f t="shared" si="3"/>
        <v>0.34953200000000001</v>
      </c>
      <c r="AG8" s="17">
        <v>0</v>
      </c>
      <c r="AH8" s="64">
        <v>29</v>
      </c>
      <c r="AI8" s="17">
        <v>0</v>
      </c>
      <c r="AJ8" s="38">
        <v>1.5</v>
      </c>
      <c r="AK8" s="38">
        <v>3.68</v>
      </c>
      <c r="AL8" s="38">
        <v>4.9000000000000004</v>
      </c>
      <c r="AM8" s="38">
        <v>52</v>
      </c>
      <c r="AN8" s="38">
        <v>13.87</v>
      </c>
      <c r="AO8" s="89">
        <v>94.480002999999996</v>
      </c>
      <c r="AP8" s="78">
        <v>0.19800000000000001</v>
      </c>
      <c r="AQ8" s="78">
        <v>119.9</v>
      </c>
      <c r="AR8" s="90">
        <v>0</v>
      </c>
      <c r="AS8" s="64">
        <v>23</v>
      </c>
      <c r="AT8" s="92">
        <v>0</v>
      </c>
      <c r="AU8" s="92">
        <v>240</v>
      </c>
      <c r="AV8" s="17">
        <v>0</v>
      </c>
      <c r="AW8" s="49"/>
      <c r="AX8" s="49"/>
      <c r="AY8" s="85"/>
      <c r="AZ8" s="85"/>
      <c r="BA8" s="85"/>
    </row>
    <row r="9" spans="1:53" ht="15.75" customHeight="1" x14ac:dyDescent="0.15">
      <c r="A9" s="9" t="s">
        <v>150</v>
      </c>
      <c r="B9" s="75">
        <v>1.28</v>
      </c>
      <c r="C9" s="32">
        <v>38</v>
      </c>
      <c r="D9" s="76">
        <v>0.9</v>
      </c>
      <c r="E9" s="77">
        <v>4</v>
      </c>
      <c r="F9" s="78">
        <v>0.15</v>
      </c>
      <c r="G9" s="17">
        <v>1</v>
      </c>
      <c r="H9" s="27">
        <v>300</v>
      </c>
      <c r="I9" s="17">
        <v>240</v>
      </c>
      <c r="J9" s="17">
        <v>13</v>
      </c>
      <c r="K9" s="27">
        <v>300</v>
      </c>
      <c r="L9" s="17">
        <v>4096</v>
      </c>
      <c r="M9" s="17" t="s">
        <v>143</v>
      </c>
      <c r="N9" s="17">
        <v>0</v>
      </c>
      <c r="O9" s="17">
        <v>1</v>
      </c>
      <c r="P9" s="17">
        <v>1</v>
      </c>
      <c r="Q9" s="20">
        <v>0.5</v>
      </c>
      <c r="R9" s="79">
        <v>0.65</v>
      </c>
      <c r="S9" s="38">
        <v>2</v>
      </c>
      <c r="T9" s="38">
        <v>6.83</v>
      </c>
      <c r="U9" s="38">
        <v>9.1</v>
      </c>
      <c r="V9" s="38">
        <v>52.45</v>
      </c>
      <c r="W9" s="38">
        <v>20</v>
      </c>
      <c r="X9" s="86">
        <v>92.959998999999996</v>
      </c>
      <c r="Y9" s="87">
        <v>96.620002999999997</v>
      </c>
      <c r="Z9" s="88">
        <v>0</v>
      </c>
      <c r="AA9" s="78">
        <v>0.19</v>
      </c>
      <c r="AB9" s="78">
        <v>138</v>
      </c>
      <c r="AC9" s="33">
        <v>0.287823</v>
      </c>
      <c r="AD9" s="33">
        <f t="shared" si="2"/>
        <v>0.287823</v>
      </c>
      <c r="AE9" s="33">
        <v>0.34538799999999997</v>
      </c>
      <c r="AF9" s="33">
        <f t="shared" si="3"/>
        <v>0.34538799999999997</v>
      </c>
      <c r="AG9" s="17">
        <v>10</v>
      </c>
      <c r="AH9" s="64">
        <v>26</v>
      </c>
      <c r="AI9" s="17">
        <v>3</v>
      </c>
      <c r="AJ9" s="15"/>
      <c r="AK9" s="15"/>
      <c r="AL9" s="15"/>
      <c r="AM9" s="15"/>
      <c r="AN9" s="15"/>
      <c r="AO9" s="82"/>
      <c r="AP9" s="83"/>
      <c r="AQ9" s="83"/>
      <c r="AR9" s="84"/>
      <c r="AS9" s="23"/>
      <c r="AT9" s="49"/>
      <c r="AU9" s="49"/>
      <c r="AV9" s="49"/>
      <c r="AW9" s="49"/>
      <c r="AX9" s="49"/>
      <c r="AY9" s="85"/>
      <c r="AZ9" s="85"/>
      <c r="BA9" s="85"/>
    </row>
    <row r="10" spans="1:53" ht="15.75" customHeight="1" x14ac:dyDescent="0.15">
      <c r="A10" s="9" t="s">
        <v>151</v>
      </c>
      <c r="B10" s="75">
        <v>1.5529999999999999</v>
      </c>
      <c r="C10" s="32">
        <v>31</v>
      </c>
      <c r="D10" s="76">
        <v>0.85</v>
      </c>
      <c r="E10" s="77">
        <v>4</v>
      </c>
      <c r="F10" s="78">
        <v>0.1</v>
      </c>
      <c r="G10" s="17">
        <v>1</v>
      </c>
      <c r="H10" s="27">
        <v>100</v>
      </c>
      <c r="I10" s="17">
        <v>240</v>
      </c>
      <c r="J10" s="17">
        <v>12</v>
      </c>
      <c r="K10" s="27">
        <v>500</v>
      </c>
      <c r="L10" s="17">
        <v>4096</v>
      </c>
      <c r="M10" s="17" t="s">
        <v>143</v>
      </c>
      <c r="N10" s="17">
        <v>1</v>
      </c>
      <c r="O10" s="17">
        <v>1</v>
      </c>
      <c r="P10" s="17">
        <v>1</v>
      </c>
      <c r="Q10" s="20">
        <v>0.5</v>
      </c>
      <c r="R10" s="79">
        <v>0.65</v>
      </c>
      <c r="S10" s="38">
        <v>3</v>
      </c>
      <c r="T10" s="38">
        <v>7.6</v>
      </c>
      <c r="U10" s="38">
        <v>10.43</v>
      </c>
      <c r="V10" s="38">
        <v>35</v>
      </c>
      <c r="W10" s="38">
        <v>13.41</v>
      </c>
      <c r="X10" s="86">
        <v>92.959998999999996</v>
      </c>
      <c r="Y10" s="87">
        <v>96.620002999999997</v>
      </c>
      <c r="Z10" s="88">
        <v>0</v>
      </c>
      <c r="AA10" s="78">
        <v>0.19</v>
      </c>
      <c r="AB10" s="78">
        <v>138</v>
      </c>
      <c r="AC10" s="94">
        <v>0.22750000000000001</v>
      </c>
      <c r="AD10" s="95">
        <v>0.287823</v>
      </c>
      <c r="AE10" s="95">
        <v>0.24249999999999999</v>
      </c>
      <c r="AF10" s="95">
        <v>0.34538799999999997</v>
      </c>
      <c r="AG10" s="32">
        <v>120</v>
      </c>
      <c r="AH10" s="64">
        <v>31</v>
      </c>
      <c r="AI10" s="32">
        <v>6</v>
      </c>
      <c r="AJ10" s="15"/>
      <c r="AK10" s="15"/>
      <c r="AL10" s="15"/>
      <c r="AM10" s="15"/>
      <c r="AN10" s="15"/>
      <c r="AO10" s="82"/>
      <c r="AP10" s="83"/>
      <c r="AQ10" s="83"/>
      <c r="AR10" s="84"/>
      <c r="AS10" s="23"/>
      <c r="AT10" s="49"/>
      <c r="AU10" s="49"/>
      <c r="AV10" s="49"/>
      <c r="AW10" s="49"/>
      <c r="AX10" s="49"/>
      <c r="AY10" s="85"/>
      <c r="AZ10" s="85"/>
      <c r="BA10" s="85"/>
    </row>
    <row r="11" spans="1:53" ht="15.75" customHeight="1" x14ac:dyDescent="0.15">
      <c r="A11" s="36" t="s">
        <v>152</v>
      </c>
      <c r="B11" s="75">
        <v>1.8120000000000001</v>
      </c>
      <c r="C11" s="17">
        <v>33</v>
      </c>
      <c r="D11" s="76">
        <v>0.79</v>
      </c>
      <c r="E11" s="77">
        <v>4</v>
      </c>
      <c r="F11" s="78">
        <v>0.12</v>
      </c>
      <c r="G11" s="17">
        <v>1</v>
      </c>
      <c r="H11" s="27">
        <v>300</v>
      </c>
      <c r="I11" s="17">
        <v>240</v>
      </c>
      <c r="J11" s="32">
        <v>18</v>
      </c>
      <c r="K11" s="27">
        <v>500</v>
      </c>
      <c r="L11" s="17">
        <v>4096</v>
      </c>
      <c r="M11" s="17" t="s">
        <v>143</v>
      </c>
      <c r="N11" s="17">
        <v>0</v>
      </c>
      <c r="O11" s="17">
        <v>1</v>
      </c>
      <c r="P11" s="17">
        <v>1</v>
      </c>
      <c r="Q11" s="20">
        <v>0.5</v>
      </c>
      <c r="R11" s="79">
        <v>0.65</v>
      </c>
      <c r="S11" s="38">
        <v>2</v>
      </c>
      <c r="T11" s="38">
        <v>3.68</v>
      </c>
      <c r="U11" s="38">
        <v>4.9000000000000004</v>
      </c>
      <c r="V11" s="38">
        <v>45</v>
      </c>
      <c r="W11" s="38">
        <v>3.81</v>
      </c>
      <c r="X11" s="86">
        <v>79.779999000000004</v>
      </c>
      <c r="Y11" s="87">
        <v>71.169998000000007</v>
      </c>
      <c r="Z11" s="88">
        <v>0</v>
      </c>
      <c r="AA11" s="78">
        <v>0.21099999999999999</v>
      </c>
      <c r="AB11" s="78">
        <v>120.6</v>
      </c>
      <c r="AC11" s="96">
        <v>0.315</v>
      </c>
      <c r="AD11" s="97">
        <v>0.315</v>
      </c>
      <c r="AE11" s="97">
        <v>0.39100000000000001</v>
      </c>
      <c r="AF11" s="97">
        <v>0.39100000000000001</v>
      </c>
      <c r="AG11" s="17">
        <v>60</v>
      </c>
      <c r="AH11" s="64">
        <v>23</v>
      </c>
      <c r="AI11" s="17">
        <v>3</v>
      </c>
      <c r="AJ11" s="15"/>
      <c r="AK11" s="15"/>
      <c r="AL11" s="15"/>
      <c r="AM11" s="15"/>
      <c r="AN11" s="15"/>
      <c r="AO11" s="82"/>
      <c r="AP11" s="83"/>
      <c r="AQ11" s="83"/>
      <c r="AR11" s="84"/>
      <c r="AS11" s="23"/>
      <c r="AT11" s="49"/>
      <c r="AU11" s="49"/>
      <c r="AV11" s="49"/>
      <c r="AW11" s="49"/>
      <c r="AX11" s="49"/>
      <c r="AY11" s="85"/>
      <c r="AZ11" s="85"/>
      <c r="BA11" s="85"/>
    </row>
    <row r="12" spans="1:53" ht="15.75" customHeight="1" x14ac:dyDescent="0.15">
      <c r="A12" s="39"/>
      <c r="B12" s="98"/>
      <c r="C12" s="39"/>
      <c r="D12" s="99"/>
      <c r="E12" s="100"/>
      <c r="F12" s="10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02"/>
      <c r="R12" s="102"/>
      <c r="S12" s="41"/>
      <c r="T12" s="41"/>
      <c r="U12" s="41"/>
      <c r="V12" s="41"/>
      <c r="W12" s="41"/>
      <c r="X12" s="103"/>
      <c r="Y12" s="103"/>
      <c r="Z12" s="103"/>
      <c r="AA12" s="101"/>
      <c r="AB12" s="101"/>
      <c r="AC12" s="46"/>
      <c r="AD12" s="46"/>
      <c r="AE12" s="46"/>
      <c r="AF12" s="46"/>
      <c r="AG12" s="39"/>
      <c r="AH12" s="47"/>
      <c r="AI12" s="39"/>
      <c r="AJ12" s="41"/>
      <c r="AK12" s="41"/>
      <c r="AL12" s="41"/>
      <c r="AM12" s="41"/>
      <c r="AN12" s="41"/>
      <c r="AO12" s="104"/>
      <c r="AP12" s="101"/>
      <c r="AQ12" s="101"/>
      <c r="AR12" s="105"/>
      <c r="AS12" s="47"/>
      <c r="AT12" s="39"/>
      <c r="AU12" s="39"/>
      <c r="AV12" s="39"/>
      <c r="AW12" s="39"/>
      <c r="AX12" s="39"/>
      <c r="AY12" s="41"/>
      <c r="AZ12" s="41"/>
      <c r="BA12" s="41"/>
    </row>
    <row r="13" spans="1:53" ht="15.75" customHeight="1" x14ac:dyDescent="0.15">
      <c r="A13" s="1" t="s">
        <v>53</v>
      </c>
      <c r="B13" s="66" t="s">
        <v>92</v>
      </c>
      <c r="C13" s="2" t="s">
        <v>3</v>
      </c>
      <c r="D13" s="67" t="s">
        <v>93</v>
      </c>
      <c r="E13" s="68" t="s">
        <v>94</v>
      </c>
      <c r="F13" s="69" t="s">
        <v>95</v>
      </c>
      <c r="G13" s="2" t="s">
        <v>96</v>
      </c>
      <c r="H13" s="2" t="s">
        <v>97</v>
      </c>
      <c r="I13" s="2" t="s">
        <v>98</v>
      </c>
      <c r="J13" s="2" t="s">
        <v>99</v>
      </c>
      <c r="K13" s="2" t="s">
        <v>100</v>
      </c>
      <c r="L13" s="2" t="s">
        <v>101</v>
      </c>
      <c r="M13" s="2" t="s">
        <v>102</v>
      </c>
      <c r="N13" s="2" t="s">
        <v>103</v>
      </c>
      <c r="O13" s="2" t="s">
        <v>4</v>
      </c>
      <c r="P13" s="2" t="s">
        <v>104</v>
      </c>
      <c r="Q13" s="70" t="s">
        <v>105</v>
      </c>
      <c r="R13" s="71" t="s">
        <v>106</v>
      </c>
      <c r="S13" s="4" t="s">
        <v>107</v>
      </c>
      <c r="T13" s="4" t="s">
        <v>108</v>
      </c>
      <c r="U13" s="4" t="s">
        <v>109</v>
      </c>
      <c r="V13" s="4" t="s">
        <v>110</v>
      </c>
      <c r="W13" s="4" t="s">
        <v>111</v>
      </c>
      <c r="X13" s="72" t="s">
        <v>112</v>
      </c>
      <c r="Y13" s="72" t="s">
        <v>113</v>
      </c>
      <c r="Z13" s="72" t="s">
        <v>114</v>
      </c>
      <c r="AA13" s="69" t="s">
        <v>115</v>
      </c>
      <c r="AB13" s="69" t="s">
        <v>116</v>
      </c>
      <c r="AC13" s="7" t="s">
        <v>117</v>
      </c>
      <c r="AD13" s="7" t="s">
        <v>118</v>
      </c>
      <c r="AE13" s="7" t="s">
        <v>119</v>
      </c>
      <c r="AF13" s="7" t="s">
        <v>120</v>
      </c>
      <c r="AG13" s="2" t="s">
        <v>121</v>
      </c>
      <c r="AH13" s="8" t="s">
        <v>122</v>
      </c>
      <c r="AI13" s="2" t="s">
        <v>123</v>
      </c>
      <c r="AJ13" s="2" t="s">
        <v>124</v>
      </c>
      <c r="AK13" s="2" t="s">
        <v>125</v>
      </c>
      <c r="AL13" s="2" t="s">
        <v>126</v>
      </c>
      <c r="AM13" s="2" t="s">
        <v>127</v>
      </c>
      <c r="AN13" s="2" t="s">
        <v>128</v>
      </c>
      <c r="AO13" s="106" t="s">
        <v>129</v>
      </c>
      <c r="AP13" s="2" t="s">
        <v>130</v>
      </c>
      <c r="AQ13" s="2" t="s">
        <v>131</v>
      </c>
      <c r="AR13" s="74" t="s">
        <v>132</v>
      </c>
      <c r="AS13" s="8" t="s">
        <v>133</v>
      </c>
      <c r="AT13" s="2" t="s">
        <v>134</v>
      </c>
      <c r="AU13" s="2" t="s">
        <v>135</v>
      </c>
      <c r="AV13" s="2" t="s">
        <v>136</v>
      </c>
      <c r="AW13" s="2" t="s">
        <v>137</v>
      </c>
      <c r="AX13" s="2" t="s">
        <v>138</v>
      </c>
      <c r="AY13" s="4" t="s">
        <v>139</v>
      </c>
      <c r="AZ13" s="4" t="s">
        <v>140</v>
      </c>
      <c r="BA13" s="4" t="s">
        <v>141</v>
      </c>
    </row>
    <row r="14" spans="1:53" ht="15.75" customHeight="1" x14ac:dyDescent="0.15">
      <c r="A14" s="35" t="s">
        <v>153</v>
      </c>
      <c r="B14" s="75">
        <v>1.5</v>
      </c>
      <c r="C14" s="17">
        <v>30</v>
      </c>
      <c r="D14" s="76">
        <v>0.45</v>
      </c>
      <c r="E14" s="77">
        <v>4</v>
      </c>
      <c r="F14" s="78">
        <v>0.85</v>
      </c>
      <c r="G14" s="17">
        <v>1</v>
      </c>
      <c r="H14" s="27">
        <v>900</v>
      </c>
      <c r="I14" s="17">
        <v>225</v>
      </c>
      <c r="J14" s="17">
        <v>5</v>
      </c>
      <c r="K14" s="27">
        <v>1300</v>
      </c>
      <c r="L14" s="17">
        <v>1400</v>
      </c>
      <c r="M14" s="17" t="s">
        <v>154</v>
      </c>
      <c r="N14" s="32">
        <v>0</v>
      </c>
      <c r="O14" s="17">
        <v>8</v>
      </c>
      <c r="P14" s="17">
        <v>1</v>
      </c>
      <c r="Q14" s="20">
        <v>0.4</v>
      </c>
      <c r="R14" s="79">
        <v>0.45</v>
      </c>
      <c r="S14" s="38">
        <v>40</v>
      </c>
      <c r="T14" s="38">
        <v>5.25</v>
      </c>
      <c r="U14" s="38">
        <v>7</v>
      </c>
      <c r="V14" s="38">
        <v>11.19</v>
      </c>
      <c r="W14" s="38">
        <v>15.99</v>
      </c>
      <c r="X14" s="86">
        <v>50.09</v>
      </c>
      <c r="Y14" s="87">
        <v>52.639999000000003</v>
      </c>
      <c r="Z14" s="88">
        <v>0</v>
      </c>
      <c r="AA14" s="78">
        <v>0.10299999999999999</v>
      </c>
      <c r="AB14" s="78">
        <v>134.26</v>
      </c>
      <c r="AC14" s="33">
        <v>0.28552100000000002</v>
      </c>
      <c r="AD14" s="33">
        <f t="shared" ref="AD14:AD17" si="4">AC14</f>
        <v>0.28552100000000002</v>
      </c>
      <c r="AE14" s="33">
        <v>0.399729</v>
      </c>
      <c r="AF14" s="33">
        <f t="shared" ref="AF14:AF17" si="5">AE14</f>
        <v>0.399729</v>
      </c>
      <c r="AG14" s="17">
        <v>20</v>
      </c>
      <c r="AH14" s="64">
        <v>165</v>
      </c>
      <c r="AI14" s="17">
        <v>25</v>
      </c>
      <c r="AJ14" s="15"/>
      <c r="AK14" s="15"/>
      <c r="AL14" s="15"/>
      <c r="AM14" s="15"/>
      <c r="AN14" s="15"/>
      <c r="AO14" s="82"/>
      <c r="AP14" s="83"/>
      <c r="AQ14" s="83"/>
      <c r="AR14" s="84"/>
      <c r="AS14" s="23"/>
      <c r="AT14" s="49"/>
      <c r="AU14" s="49"/>
      <c r="AV14" s="49"/>
      <c r="AW14" s="49"/>
      <c r="AX14" s="49"/>
      <c r="AY14" s="85"/>
      <c r="AZ14" s="85"/>
      <c r="BA14" s="85"/>
    </row>
    <row r="15" spans="1:53" ht="15.75" customHeight="1" x14ac:dyDescent="0.15">
      <c r="A15" s="9" t="s">
        <v>155</v>
      </c>
      <c r="B15" s="75">
        <v>1</v>
      </c>
      <c r="C15" s="17">
        <v>26</v>
      </c>
      <c r="D15" s="76">
        <v>0.7</v>
      </c>
      <c r="E15" s="77">
        <v>4</v>
      </c>
      <c r="F15" s="78">
        <v>0.88</v>
      </c>
      <c r="G15" s="32">
        <v>1</v>
      </c>
      <c r="H15" s="27">
        <v>900</v>
      </c>
      <c r="I15" s="17">
        <v>220</v>
      </c>
      <c r="J15" s="17">
        <v>8</v>
      </c>
      <c r="K15" s="27">
        <v>1050</v>
      </c>
      <c r="L15" s="17">
        <v>3000</v>
      </c>
      <c r="M15" s="17" t="s">
        <v>154</v>
      </c>
      <c r="N15" s="32">
        <v>0</v>
      </c>
      <c r="O15" s="17">
        <v>9</v>
      </c>
      <c r="P15" s="17">
        <v>1</v>
      </c>
      <c r="Q15" s="20">
        <v>0.4</v>
      </c>
      <c r="R15" s="79">
        <v>0.45</v>
      </c>
      <c r="S15" s="38">
        <v>40</v>
      </c>
      <c r="T15" s="38">
        <v>5.25</v>
      </c>
      <c r="U15" s="38">
        <v>7</v>
      </c>
      <c r="V15" s="38">
        <v>9.7200000000000006</v>
      </c>
      <c r="W15" s="38">
        <v>36.75</v>
      </c>
      <c r="X15" s="86">
        <v>126.30999799999999</v>
      </c>
      <c r="Y15" s="87">
        <v>109.699997</v>
      </c>
      <c r="Z15" s="88">
        <v>0</v>
      </c>
      <c r="AA15" s="78">
        <v>0.23599999999999999</v>
      </c>
      <c r="AB15" s="78">
        <v>78.75</v>
      </c>
      <c r="AC15" s="33">
        <v>0.32894099999999998</v>
      </c>
      <c r="AD15" s="33">
        <f t="shared" si="4"/>
        <v>0.32894099999999998</v>
      </c>
      <c r="AE15" s="33">
        <v>0.46051700000000001</v>
      </c>
      <c r="AF15" s="33">
        <f t="shared" si="5"/>
        <v>0.46051700000000001</v>
      </c>
      <c r="AG15" s="17">
        <v>20</v>
      </c>
      <c r="AH15" s="64">
        <v>143</v>
      </c>
      <c r="AI15" s="17">
        <v>22</v>
      </c>
      <c r="AJ15" s="15"/>
      <c r="AK15" s="15"/>
      <c r="AL15" s="15"/>
      <c r="AM15" s="15"/>
      <c r="AN15" s="15"/>
      <c r="AO15" s="82"/>
      <c r="AP15" s="83"/>
      <c r="AQ15" s="83"/>
      <c r="AR15" s="84"/>
      <c r="AS15" s="23"/>
      <c r="AT15" s="49"/>
      <c r="AU15" s="49"/>
      <c r="AV15" s="49"/>
      <c r="AW15" s="49"/>
      <c r="AX15" s="49"/>
      <c r="AY15" s="85"/>
      <c r="AZ15" s="85"/>
      <c r="BA15" s="85"/>
    </row>
    <row r="16" spans="1:53" ht="15.75" customHeight="1" x14ac:dyDescent="0.15">
      <c r="A16" s="36" t="s">
        <v>156</v>
      </c>
      <c r="B16" s="75">
        <v>1.5</v>
      </c>
      <c r="C16" s="17">
        <v>32</v>
      </c>
      <c r="D16" s="76">
        <v>0.45</v>
      </c>
      <c r="E16" s="77">
        <v>4</v>
      </c>
      <c r="F16" s="78">
        <v>0.85</v>
      </c>
      <c r="G16" s="17">
        <v>1</v>
      </c>
      <c r="H16" s="27">
        <v>900</v>
      </c>
      <c r="I16" s="17">
        <v>210</v>
      </c>
      <c r="J16" s="17">
        <v>7</v>
      </c>
      <c r="K16" s="27">
        <v>1100</v>
      </c>
      <c r="L16" s="32">
        <v>1400</v>
      </c>
      <c r="M16" s="17" t="s">
        <v>154</v>
      </c>
      <c r="N16" s="17">
        <v>0</v>
      </c>
      <c r="O16" s="17">
        <v>8</v>
      </c>
      <c r="P16" s="17">
        <v>1</v>
      </c>
      <c r="Q16" s="20">
        <v>0.4</v>
      </c>
      <c r="R16" s="79">
        <v>0.45</v>
      </c>
      <c r="S16" s="38">
        <v>62</v>
      </c>
      <c r="T16" s="38">
        <v>5.25</v>
      </c>
      <c r="U16" s="38">
        <v>7</v>
      </c>
      <c r="V16" s="38">
        <v>9.7200000000000006</v>
      </c>
      <c r="W16" s="38">
        <v>16.8</v>
      </c>
      <c r="X16" s="86">
        <v>57.700001</v>
      </c>
      <c r="Y16" s="87">
        <v>50.119999</v>
      </c>
      <c r="Z16" s="88">
        <v>0</v>
      </c>
      <c r="AA16" s="78">
        <v>0.108</v>
      </c>
      <c r="AB16" s="78">
        <v>36</v>
      </c>
      <c r="AC16" s="33">
        <v>0.32894099999999998</v>
      </c>
      <c r="AD16" s="33">
        <f t="shared" si="4"/>
        <v>0.32894099999999998</v>
      </c>
      <c r="AE16" s="33">
        <v>0.46051700000000001</v>
      </c>
      <c r="AF16" s="33">
        <f t="shared" si="5"/>
        <v>0.46051700000000001</v>
      </c>
      <c r="AG16" s="17">
        <v>20</v>
      </c>
      <c r="AH16" s="64">
        <v>143</v>
      </c>
      <c r="AI16" s="17">
        <v>22</v>
      </c>
      <c r="AJ16" s="15"/>
      <c r="AK16" s="15"/>
      <c r="AL16" s="15"/>
      <c r="AM16" s="15"/>
      <c r="AN16" s="15"/>
      <c r="AO16" s="82"/>
      <c r="AP16" s="83"/>
      <c r="AQ16" s="83"/>
      <c r="AR16" s="84"/>
      <c r="AS16" s="23"/>
      <c r="AT16" s="49"/>
      <c r="AU16" s="49"/>
      <c r="AV16" s="49"/>
      <c r="AW16" s="49"/>
      <c r="AX16" s="49"/>
      <c r="AY16" s="85"/>
      <c r="AZ16" s="85"/>
      <c r="BA16" s="85"/>
    </row>
    <row r="17" spans="1:53" ht="15.75" customHeight="1" x14ac:dyDescent="0.15">
      <c r="A17" s="9" t="s">
        <v>157</v>
      </c>
      <c r="B17" s="75">
        <v>1.6</v>
      </c>
      <c r="C17" s="17">
        <v>20</v>
      </c>
      <c r="D17" s="76">
        <v>0.7</v>
      </c>
      <c r="E17" s="77">
        <v>4</v>
      </c>
      <c r="F17" s="78">
        <v>0.35</v>
      </c>
      <c r="G17" s="17">
        <v>1</v>
      </c>
      <c r="H17" s="27">
        <v>900</v>
      </c>
      <c r="I17" s="17">
        <v>215</v>
      </c>
      <c r="J17" s="17">
        <v>7</v>
      </c>
      <c r="K17" s="27">
        <v>2000</v>
      </c>
      <c r="L17" s="17">
        <v>3000</v>
      </c>
      <c r="M17" s="17" t="s">
        <v>154</v>
      </c>
      <c r="N17" s="17">
        <v>1</v>
      </c>
      <c r="O17" s="17">
        <v>6</v>
      </c>
      <c r="P17" s="17">
        <v>1</v>
      </c>
      <c r="Q17" s="20">
        <v>0.4</v>
      </c>
      <c r="R17" s="79">
        <v>0.45</v>
      </c>
      <c r="S17" s="38">
        <v>38</v>
      </c>
      <c r="T17" s="38">
        <v>5.25</v>
      </c>
      <c r="U17" s="38">
        <v>7</v>
      </c>
      <c r="V17" s="38">
        <v>8.83</v>
      </c>
      <c r="W17" s="38">
        <v>36.03</v>
      </c>
      <c r="X17" s="86">
        <v>130.83000200000001</v>
      </c>
      <c r="Y17" s="87">
        <v>100.379997</v>
      </c>
      <c r="Z17" s="88">
        <v>0</v>
      </c>
      <c r="AA17" s="78">
        <v>0.23200000000000001</v>
      </c>
      <c r="AB17" s="78">
        <v>77.209999999999994</v>
      </c>
      <c r="AC17" s="33">
        <v>0.36183500000000002</v>
      </c>
      <c r="AD17" s="33">
        <f t="shared" si="4"/>
        <v>0.36183500000000002</v>
      </c>
      <c r="AE17" s="33">
        <v>0.50656900000000005</v>
      </c>
      <c r="AF17" s="33">
        <f t="shared" si="5"/>
        <v>0.50656900000000005</v>
      </c>
      <c r="AG17" s="17">
        <v>20</v>
      </c>
      <c r="AH17" s="64">
        <v>80</v>
      </c>
      <c r="AI17" s="17">
        <v>20</v>
      </c>
      <c r="AJ17" s="15"/>
      <c r="AK17" s="15"/>
      <c r="AL17" s="15"/>
      <c r="AM17" s="15"/>
      <c r="AN17" s="15"/>
      <c r="AO17" s="82"/>
      <c r="AP17" s="83"/>
      <c r="AQ17" s="83"/>
      <c r="AR17" s="84"/>
      <c r="AS17" s="23"/>
      <c r="AT17" s="49"/>
      <c r="AU17" s="49"/>
      <c r="AV17" s="49"/>
      <c r="AW17" s="49"/>
      <c r="AX17" s="49"/>
      <c r="AY17" s="85"/>
      <c r="AZ17" s="85"/>
      <c r="BA17" s="85"/>
    </row>
    <row r="18" spans="1:53" ht="15.75" customHeight="1" x14ac:dyDescent="0.15">
      <c r="A18" s="39"/>
      <c r="B18" s="98"/>
      <c r="C18" s="39"/>
      <c r="D18" s="99"/>
      <c r="E18" s="100"/>
      <c r="F18" s="10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02"/>
      <c r="R18" s="102"/>
      <c r="S18" s="41"/>
      <c r="T18" s="41"/>
      <c r="U18" s="41"/>
      <c r="V18" s="41"/>
      <c r="W18" s="41"/>
      <c r="X18" s="103"/>
      <c r="Y18" s="103"/>
      <c r="Z18" s="103"/>
      <c r="AA18" s="101"/>
      <c r="AB18" s="101"/>
      <c r="AC18" s="46"/>
      <c r="AD18" s="46"/>
      <c r="AE18" s="46"/>
      <c r="AF18" s="46"/>
      <c r="AG18" s="39"/>
      <c r="AH18" s="47"/>
      <c r="AI18" s="39"/>
      <c r="AJ18" s="41"/>
      <c r="AK18" s="41"/>
      <c r="AL18" s="41"/>
      <c r="AM18" s="41"/>
      <c r="AN18" s="41"/>
      <c r="AO18" s="104"/>
      <c r="AP18" s="101"/>
      <c r="AQ18" s="101"/>
      <c r="AR18" s="105"/>
      <c r="AS18" s="47"/>
      <c r="AT18" s="39"/>
      <c r="AU18" s="39"/>
      <c r="AV18" s="39"/>
      <c r="AW18" s="39"/>
      <c r="AX18" s="39"/>
      <c r="AY18" s="41"/>
      <c r="AZ18" s="41"/>
      <c r="BA18" s="41"/>
    </row>
    <row r="19" spans="1:53" ht="15.75" customHeight="1" x14ac:dyDescent="0.15">
      <c r="A19" s="1" t="s">
        <v>59</v>
      </c>
      <c r="B19" s="66" t="s">
        <v>92</v>
      </c>
      <c r="C19" s="2" t="s">
        <v>3</v>
      </c>
      <c r="D19" s="67" t="s">
        <v>93</v>
      </c>
      <c r="E19" s="68" t="s">
        <v>94</v>
      </c>
      <c r="F19" s="69" t="s">
        <v>95</v>
      </c>
      <c r="G19" s="2" t="s">
        <v>96</v>
      </c>
      <c r="H19" s="2" t="s">
        <v>97</v>
      </c>
      <c r="I19" s="2" t="s">
        <v>98</v>
      </c>
      <c r="J19" s="2" t="s">
        <v>99</v>
      </c>
      <c r="K19" s="2" t="s">
        <v>100</v>
      </c>
      <c r="L19" s="2" t="s">
        <v>101</v>
      </c>
      <c r="M19" s="2" t="s">
        <v>102</v>
      </c>
      <c r="N19" s="2" t="s">
        <v>103</v>
      </c>
      <c r="O19" s="2" t="s">
        <v>4</v>
      </c>
      <c r="P19" s="2" t="s">
        <v>104</v>
      </c>
      <c r="Q19" s="70" t="s">
        <v>105</v>
      </c>
      <c r="R19" s="71" t="s">
        <v>106</v>
      </c>
      <c r="S19" s="4" t="s">
        <v>107</v>
      </c>
      <c r="T19" s="4" t="s">
        <v>108</v>
      </c>
      <c r="U19" s="4" t="s">
        <v>109</v>
      </c>
      <c r="V19" s="4" t="s">
        <v>110</v>
      </c>
      <c r="W19" s="4" t="s">
        <v>111</v>
      </c>
      <c r="X19" s="72" t="s">
        <v>112</v>
      </c>
      <c r="Y19" s="72" t="s">
        <v>113</v>
      </c>
      <c r="Z19" s="72" t="s">
        <v>114</v>
      </c>
      <c r="AA19" s="69" t="s">
        <v>115</v>
      </c>
      <c r="AB19" s="69" t="s">
        <v>116</v>
      </c>
      <c r="AC19" s="7" t="s">
        <v>117</v>
      </c>
      <c r="AD19" s="7" t="s">
        <v>118</v>
      </c>
      <c r="AE19" s="7" t="s">
        <v>119</v>
      </c>
      <c r="AF19" s="7" t="s">
        <v>120</v>
      </c>
      <c r="AG19" s="2" t="s">
        <v>121</v>
      </c>
      <c r="AH19" s="8" t="s">
        <v>122</v>
      </c>
      <c r="AI19" s="2" t="s">
        <v>123</v>
      </c>
      <c r="AJ19" s="2" t="s">
        <v>124</v>
      </c>
      <c r="AK19" s="2" t="s">
        <v>125</v>
      </c>
      <c r="AL19" s="2" t="s">
        <v>126</v>
      </c>
      <c r="AM19" s="2" t="s">
        <v>127</v>
      </c>
      <c r="AN19" s="2" t="s">
        <v>128</v>
      </c>
      <c r="AO19" s="106" t="s">
        <v>129</v>
      </c>
      <c r="AP19" s="2" t="s">
        <v>130</v>
      </c>
      <c r="AQ19" s="2" t="s">
        <v>131</v>
      </c>
      <c r="AR19" s="74" t="s">
        <v>132</v>
      </c>
      <c r="AS19" s="8" t="s">
        <v>133</v>
      </c>
      <c r="AT19" s="2" t="s">
        <v>134</v>
      </c>
      <c r="AU19" s="2" t="s">
        <v>135</v>
      </c>
      <c r="AV19" s="2" t="s">
        <v>136</v>
      </c>
      <c r="AW19" s="2" t="s">
        <v>137</v>
      </c>
      <c r="AX19" s="2" t="s">
        <v>138</v>
      </c>
      <c r="AY19" s="4" t="s">
        <v>139</v>
      </c>
      <c r="AZ19" s="4" t="s">
        <v>140</v>
      </c>
      <c r="BA19" s="4" t="s">
        <v>141</v>
      </c>
    </row>
    <row r="20" spans="1:53" ht="15.75" customHeight="1" x14ac:dyDescent="0.15">
      <c r="A20" s="9" t="s">
        <v>158</v>
      </c>
      <c r="B20" s="75">
        <v>1.26</v>
      </c>
      <c r="C20" s="17">
        <v>27</v>
      </c>
      <c r="D20" s="76">
        <v>0.8</v>
      </c>
      <c r="E20" s="77">
        <v>4</v>
      </c>
      <c r="F20" s="78">
        <v>0.08</v>
      </c>
      <c r="G20" s="17">
        <v>1</v>
      </c>
      <c r="H20" s="27">
        <v>600</v>
      </c>
      <c r="I20" s="17">
        <v>240</v>
      </c>
      <c r="J20" s="17">
        <v>64</v>
      </c>
      <c r="K20" s="27">
        <v>1400</v>
      </c>
      <c r="L20" s="17">
        <v>3600</v>
      </c>
      <c r="M20" s="17" t="s">
        <v>159</v>
      </c>
      <c r="N20" s="17">
        <v>1</v>
      </c>
      <c r="O20" s="17">
        <v>1</v>
      </c>
      <c r="P20" s="17">
        <v>3</v>
      </c>
      <c r="Q20" s="20">
        <v>0</v>
      </c>
      <c r="R20" s="79">
        <v>0</v>
      </c>
      <c r="S20" s="38">
        <v>1</v>
      </c>
      <c r="T20" s="38">
        <v>10.5</v>
      </c>
      <c r="U20" s="38">
        <v>14</v>
      </c>
      <c r="V20" s="38">
        <v>2.88</v>
      </c>
      <c r="W20" s="38">
        <v>27.57</v>
      </c>
      <c r="X20" s="86">
        <v>33.470001000000003</v>
      </c>
      <c r="Y20" s="87">
        <v>45.900002000000001</v>
      </c>
      <c r="Z20" s="88">
        <v>0</v>
      </c>
      <c r="AA20" s="78">
        <v>0.08</v>
      </c>
      <c r="AB20" s="78">
        <v>169.65</v>
      </c>
      <c r="AC20" s="33">
        <v>0.23683699999999999</v>
      </c>
      <c r="AD20" s="33">
        <f t="shared" ref="AD20:AD26" si="6">AC20</f>
        <v>0.23683699999999999</v>
      </c>
      <c r="AE20" s="33">
        <v>0.33157199999999998</v>
      </c>
      <c r="AF20" s="33">
        <f t="shared" ref="AF20:AF26" si="7">AE20</f>
        <v>0.33157199999999998</v>
      </c>
      <c r="AG20" s="17">
        <v>70</v>
      </c>
      <c r="AH20" s="64">
        <v>18</v>
      </c>
      <c r="AI20" s="17">
        <v>1</v>
      </c>
      <c r="AJ20" s="15"/>
      <c r="AK20" s="15"/>
      <c r="AL20" s="15"/>
      <c r="AM20" s="15"/>
      <c r="AN20" s="15"/>
      <c r="AO20" s="82"/>
      <c r="AP20" s="83"/>
      <c r="AQ20" s="83"/>
      <c r="AR20" s="84"/>
      <c r="AS20" s="23"/>
      <c r="AT20" s="49"/>
      <c r="AU20" s="49"/>
      <c r="AV20" s="49"/>
      <c r="AW20" s="49"/>
      <c r="AX20" s="49"/>
      <c r="AY20" s="85"/>
      <c r="AZ20" s="85"/>
      <c r="BA20" s="85"/>
    </row>
    <row r="21" spans="1:53" ht="15.75" customHeight="1" x14ac:dyDescent="0.15">
      <c r="A21" s="36" t="s">
        <v>160</v>
      </c>
      <c r="B21" s="75">
        <v>1.1499999999999999</v>
      </c>
      <c r="C21" s="17">
        <v>29</v>
      </c>
      <c r="D21" s="76">
        <v>0.8</v>
      </c>
      <c r="E21" s="77">
        <v>4</v>
      </c>
      <c r="F21" s="78">
        <v>7.4999999999999997E-2</v>
      </c>
      <c r="G21" s="17">
        <v>1</v>
      </c>
      <c r="H21" s="27">
        <v>600</v>
      </c>
      <c r="I21" s="17">
        <v>240</v>
      </c>
      <c r="J21" s="17">
        <v>30</v>
      </c>
      <c r="K21" s="27">
        <v>1050</v>
      </c>
      <c r="L21" s="17">
        <v>3600</v>
      </c>
      <c r="M21" s="17" t="s">
        <v>159</v>
      </c>
      <c r="N21" s="17">
        <v>1</v>
      </c>
      <c r="O21" s="17">
        <v>1</v>
      </c>
      <c r="P21" s="17">
        <v>3</v>
      </c>
      <c r="Q21" s="20">
        <v>0</v>
      </c>
      <c r="R21" s="79">
        <v>0</v>
      </c>
      <c r="S21" s="38">
        <v>0.6</v>
      </c>
      <c r="T21" s="38">
        <v>9.98</v>
      </c>
      <c r="U21" s="38">
        <v>13.3</v>
      </c>
      <c r="V21" s="38">
        <v>4.76</v>
      </c>
      <c r="W21" s="38">
        <v>13.99</v>
      </c>
      <c r="X21" s="86">
        <v>33.299999</v>
      </c>
      <c r="Y21" s="87">
        <v>34.990001999999997</v>
      </c>
      <c r="Z21" s="88">
        <v>0</v>
      </c>
      <c r="AA21" s="78">
        <v>6.9000000000000006E-2</v>
      </c>
      <c r="AB21" s="78">
        <v>34.26</v>
      </c>
      <c r="AC21" s="33">
        <v>0.28552100000000002</v>
      </c>
      <c r="AD21" s="33">
        <f t="shared" si="6"/>
        <v>0.28552100000000002</v>
      </c>
      <c r="AE21" s="33">
        <v>0.399729</v>
      </c>
      <c r="AF21" s="33">
        <f t="shared" si="7"/>
        <v>0.399729</v>
      </c>
      <c r="AG21" s="17">
        <v>70</v>
      </c>
      <c r="AH21" s="64">
        <v>18</v>
      </c>
      <c r="AI21" s="17">
        <v>1</v>
      </c>
      <c r="AJ21" s="15"/>
      <c r="AK21" s="15"/>
      <c r="AL21" s="15"/>
      <c r="AM21" s="15"/>
      <c r="AN21" s="15"/>
      <c r="AO21" s="82"/>
      <c r="AP21" s="83"/>
      <c r="AQ21" s="83"/>
      <c r="AR21" s="84"/>
      <c r="AS21" s="23"/>
      <c r="AT21" s="49"/>
      <c r="AU21" s="49"/>
      <c r="AV21" s="49"/>
      <c r="AW21" s="49"/>
      <c r="AX21" s="49"/>
      <c r="AY21" s="85"/>
      <c r="AZ21" s="85"/>
      <c r="BA21" s="85"/>
    </row>
    <row r="22" spans="1:53" ht="15.75" customHeight="1" x14ac:dyDescent="0.15">
      <c r="A22" s="9" t="s">
        <v>161</v>
      </c>
      <c r="B22" s="75">
        <v>1.25</v>
      </c>
      <c r="C22" s="17">
        <v>29</v>
      </c>
      <c r="D22" s="76">
        <v>0.85</v>
      </c>
      <c r="E22" s="77">
        <v>4</v>
      </c>
      <c r="F22" s="78">
        <v>0.08</v>
      </c>
      <c r="G22" s="17">
        <v>1</v>
      </c>
      <c r="H22" s="27">
        <v>600</v>
      </c>
      <c r="I22" s="17">
        <v>220</v>
      </c>
      <c r="J22" s="17">
        <v>30</v>
      </c>
      <c r="K22" s="27">
        <v>1500</v>
      </c>
      <c r="L22" s="17">
        <v>3600</v>
      </c>
      <c r="M22" s="17" t="s">
        <v>159</v>
      </c>
      <c r="N22" s="17">
        <v>1</v>
      </c>
      <c r="O22" s="17">
        <v>1</v>
      </c>
      <c r="P22" s="17">
        <v>3</v>
      </c>
      <c r="Q22" s="20">
        <v>0</v>
      </c>
      <c r="R22" s="79">
        <v>0</v>
      </c>
      <c r="S22" s="38">
        <v>0.6</v>
      </c>
      <c r="T22" s="38">
        <v>5.92</v>
      </c>
      <c r="U22" s="38">
        <v>10</v>
      </c>
      <c r="V22" s="38">
        <v>2.1800000000000002</v>
      </c>
      <c r="W22" s="38">
        <v>19.86</v>
      </c>
      <c r="X22" s="86">
        <v>59.599997999999999</v>
      </c>
      <c r="Y22" s="87">
        <v>55.41</v>
      </c>
      <c r="Z22" s="88">
        <v>0</v>
      </c>
      <c r="AA22" s="78">
        <v>0.115</v>
      </c>
      <c r="AB22" s="78">
        <v>57.56</v>
      </c>
      <c r="AC22" s="33">
        <v>0.31249399999999999</v>
      </c>
      <c r="AD22" s="33">
        <f t="shared" si="6"/>
        <v>0.31249399999999999</v>
      </c>
      <c r="AE22" s="33">
        <v>0.43749100000000002</v>
      </c>
      <c r="AF22" s="33">
        <f t="shared" si="7"/>
        <v>0.43749100000000002</v>
      </c>
      <c r="AG22" s="17">
        <v>70</v>
      </c>
      <c r="AH22" s="64">
        <v>16</v>
      </c>
      <c r="AI22" s="17">
        <v>1</v>
      </c>
      <c r="AJ22" s="15"/>
      <c r="AK22" s="15"/>
      <c r="AL22" s="15"/>
      <c r="AM22" s="15"/>
      <c r="AN22" s="15"/>
      <c r="AO22" s="82"/>
      <c r="AP22" s="83"/>
      <c r="AQ22" s="83"/>
      <c r="AR22" s="84"/>
      <c r="AS22" s="23"/>
      <c r="AT22" s="49"/>
      <c r="AU22" s="49"/>
      <c r="AV22" s="49"/>
      <c r="AW22" s="49"/>
      <c r="AX22" s="49"/>
      <c r="AY22" s="85"/>
      <c r="AZ22" s="85"/>
      <c r="BA22" s="85"/>
    </row>
    <row r="23" spans="1:53" ht="15.75" customHeight="1" x14ac:dyDescent="0.15">
      <c r="A23" s="53" t="s">
        <v>162</v>
      </c>
      <c r="B23" s="75">
        <v>1.25</v>
      </c>
      <c r="C23" s="32">
        <v>27</v>
      </c>
      <c r="D23" s="76">
        <v>0.85</v>
      </c>
      <c r="E23" s="77">
        <v>4</v>
      </c>
      <c r="F23" s="78">
        <v>0.08</v>
      </c>
      <c r="G23" s="17">
        <v>1</v>
      </c>
      <c r="H23" s="27">
        <v>600</v>
      </c>
      <c r="I23" s="32">
        <v>235</v>
      </c>
      <c r="J23" s="17">
        <v>30</v>
      </c>
      <c r="K23" s="27">
        <v>1500</v>
      </c>
      <c r="L23" s="17">
        <v>3600</v>
      </c>
      <c r="M23" s="17" t="s">
        <v>159</v>
      </c>
      <c r="N23" s="17">
        <v>1</v>
      </c>
      <c r="O23" s="17">
        <v>1</v>
      </c>
      <c r="P23" s="32">
        <v>0</v>
      </c>
      <c r="Q23" s="20">
        <v>0</v>
      </c>
      <c r="R23" s="79">
        <v>0</v>
      </c>
      <c r="S23" s="38">
        <v>0.6</v>
      </c>
      <c r="T23" s="38">
        <v>5.92</v>
      </c>
      <c r="U23" s="38">
        <v>10</v>
      </c>
      <c r="V23" s="38">
        <v>2.1800000000000002</v>
      </c>
      <c r="W23" s="38">
        <v>30</v>
      </c>
      <c r="X23" s="86">
        <v>59.599997999999999</v>
      </c>
      <c r="Y23" s="87">
        <v>55.41</v>
      </c>
      <c r="Z23" s="88">
        <v>0</v>
      </c>
      <c r="AA23" s="78">
        <v>0.115</v>
      </c>
      <c r="AB23" s="78">
        <v>57.56</v>
      </c>
      <c r="AC23" s="33">
        <v>0.31249399999999999</v>
      </c>
      <c r="AD23" s="33">
        <f t="shared" si="6"/>
        <v>0.31249399999999999</v>
      </c>
      <c r="AE23" s="33">
        <v>0.43749100000000002</v>
      </c>
      <c r="AF23" s="33">
        <f t="shared" si="7"/>
        <v>0.43749100000000002</v>
      </c>
      <c r="AG23" s="17">
        <v>70</v>
      </c>
      <c r="AH23" s="64">
        <v>16</v>
      </c>
      <c r="AI23" s="17">
        <v>1</v>
      </c>
      <c r="AJ23" s="15"/>
      <c r="AK23" s="15"/>
      <c r="AL23" s="15"/>
      <c r="AM23" s="15"/>
      <c r="AN23" s="15"/>
      <c r="AO23" s="82"/>
      <c r="AP23" s="83"/>
      <c r="AQ23" s="83"/>
      <c r="AR23" s="84"/>
      <c r="AS23" s="23"/>
      <c r="AT23" s="49"/>
      <c r="AU23" s="49"/>
      <c r="AV23" s="49"/>
      <c r="AW23" s="49"/>
      <c r="AX23" s="49"/>
      <c r="AY23" s="85"/>
      <c r="AZ23" s="85"/>
      <c r="BA23" s="85"/>
    </row>
    <row r="24" spans="1:53" ht="15.75" customHeight="1" x14ac:dyDescent="0.15">
      <c r="A24" s="35" t="s">
        <v>163</v>
      </c>
      <c r="B24" s="75">
        <v>1.2</v>
      </c>
      <c r="C24" s="17">
        <v>26</v>
      </c>
      <c r="D24" s="76">
        <v>0.87</v>
      </c>
      <c r="E24" s="77">
        <v>4</v>
      </c>
      <c r="F24" s="78">
        <v>7.0000000000000007E-2</v>
      </c>
      <c r="G24" s="17">
        <v>1</v>
      </c>
      <c r="H24" s="27">
        <v>600</v>
      </c>
      <c r="I24" s="17">
        <v>240</v>
      </c>
      <c r="J24" s="17">
        <v>30</v>
      </c>
      <c r="K24" s="27">
        <v>1250</v>
      </c>
      <c r="L24" s="17">
        <v>3600</v>
      </c>
      <c r="M24" s="17" t="s">
        <v>159</v>
      </c>
      <c r="N24" s="17">
        <v>1</v>
      </c>
      <c r="O24" s="17">
        <v>1</v>
      </c>
      <c r="P24" s="17">
        <v>3</v>
      </c>
      <c r="Q24" s="20">
        <v>0</v>
      </c>
      <c r="R24" s="79">
        <v>0</v>
      </c>
      <c r="S24" s="38">
        <v>0.6</v>
      </c>
      <c r="T24" s="38">
        <v>5.5</v>
      </c>
      <c r="U24" s="38">
        <v>9</v>
      </c>
      <c r="V24" s="38">
        <v>3.7</v>
      </c>
      <c r="W24" s="38">
        <v>29.04</v>
      </c>
      <c r="X24" s="86">
        <v>18.43</v>
      </c>
      <c r="Y24" s="87">
        <v>37.279998999999997</v>
      </c>
      <c r="Z24" s="88">
        <v>0</v>
      </c>
      <c r="AA24" s="78">
        <v>5.6000000000000001E-2</v>
      </c>
      <c r="AB24" s="78">
        <v>148.91249999999999</v>
      </c>
      <c r="AC24" s="33">
        <v>0.18420700000000001</v>
      </c>
      <c r="AD24" s="33">
        <f t="shared" si="6"/>
        <v>0.18420700000000001</v>
      </c>
      <c r="AE24" s="33">
        <v>0.25789000000000001</v>
      </c>
      <c r="AF24" s="33">
        <f t="shared" si="7"/>
        <v>0.25789000000000001</v>
      </c>
      <c r="AG24" s="17">
        <v>70</v>
      </c>
      <c r="AH24" s="64">
        <v>19</v>
      </c>
      <c r="AI24" s="17">
        <v>1</v>
      </c>
      <c r="AJ24" s="15"/>
      <c r="AK24" s="15"/>
      <c r="AL24" s="15"/>
      <c r="AM24" s="15"/>
      <c r="AN24" s="15"/>
      <c r="AO24" s="82"/>
      <c r="AP24" s="83"/>
      <c r="AQ24" s="83"/>
      <c r="AR24" s="84"/>
      <c r="AS24" s="23"/>
      <c r="AT24" s="49"/>
      <c r="AU24" s="49"/>
      <c r="AV24" s="49"/>
      <c r="AW24" s="49"/>
      <c r="AX24" s="49"/>
      <c r="AY24" s="85"/>
      <c r="AZ24" s="85"/>
      <c r="BA24" s="85"/>
    </row>
    <row r="25" spans="1:53" ht="15.75" customHeight="1" x14ac:dyDescent="0.15">
      <c r="A25" s="9" t="s">
        <v>164</v>
      </c>
      <c r="B25" s="75">
        <v>1.38</v>
      </c>
      <c r="C25" s="17">
        <v>26</v>
      </c>
      <c r="D25" s="76">
        <v>0.86</v>
      </c>
      <c r="E25" s="77">
        <v>4</v>
      </c>
      <c r="F25" s="78">
        <v>7.0000000000000007E-2</v>
      </c>
      <c r="G25" s="17">
        <v>1</v>
      </c>
      <c r="H25" s="27">
        <v>300</v>
      </c>
      <c r="I25" s="17">
        <v>230</v>
      </c>
      <c r="J25" s="17">
        <v>50</v>
      </c>
      <c r="K25" s="27">
        <v>2350</v>
      </c>
      <c r="L25" s="17">
        <v>3700</v>
      </c>
      <c r="M25" s="17" t="s">
        <v>159</v>
      </c>
      <c r="N25" s="17">
        <v>1</v>
      </c>
      <c r="O25" s="17">
        <v>1</v>
      </c>
      <c r="P25" s="17">
        <v>3</v>
      </c>
      <c r="Q25" s="20">
        <v>0</v>
      </c>
      <c r="R25" s="79">
        <v>0</v>
      </c>
      <c r="S25" s="38">
        <v>1</v>
      </c>
      <c r="T25" s="38">
        <v>10.24</v>
      </c>
      <c r="U25" s="38">
        <v>13.65</v>
      </c>
      <c r="V25" s="38">
        <v>2.85</v>
      </c>
      <c r="W25" s="38">
        <v>31</v>
      </c>
      <c r="X25" s="86">
        <v>90.080001999999993</v>
      </c>
      <c r="Y25" s="87">
        <v>104.599998</v>
      </c>
      <c r="Z25" s="88">
        <v>0</v>
      </c>
      <c r="AA25" s="78">
        <v>8.2000000000000003E-2</v>
      </c>
      <c r="AB25" s="78">
        <v>132.16999999999999</v>
      </c>
      <c r="AC25" s="33">
        <v>0.26578400000000002</v>
      </c>
      <c r="AD25" s="33">
        <f t="shared" si="6"/>
        <v>0.26578400000000002</v>
      </c>
      <c r="AE25" s="33">
        <v>0.37209799999999998</v>
      </c>
      <c r="AF25" s="33">
        <f t="shared" si="7"/>
        <v>0.37209799999999998</v>
      </c>
      <c r="AG25" s="17">
        <v>70</v>
      </c>
      <c r="AH25" s="64">
        <v>16</v>
      </c>
      <c r="AI25" s="17">
        <v>1</v>
      </c>
      <c r="AJ25" s="15"/>
      <c r="AK25" s="15"/>
      <c r="AL25" s="15"/>
      <c r="AM25" s="15"/>
      <c r="AN25" s="15"/>
      <c r="AO25" s="82"/>
      <c r="AP25" s="83"/>
      <c r="AQ25" s="83"/>
      <c r="AR25" s="84"/>
      <c r="AS25" s="23"/>
      <c r="AT25" s="49"/>
      <c r="AU25" s="49"/>
      <c r="AV25" s="49"/>
      <c r="AW25" s="49"/>
      <c r="AX25" s="49"/>
      <c r="AY25" s="85"/>
      <c r="AZ25" s="85"/>
      <c r="BA25" s="85"/>
    </row>
    <row r="26" spans="1:53" ht="15.75" customHeight="1" x14ac:dyDescent="0.15">
      <c r="A26" s="9" t="s">
        <v>165</v>
      </c>
      <c r="B26" s="75">
        <v>1.3</v>
      </c>
      <c r="C26" s="17">
        <v>35</v>
      </c>
      <c r="D26" s="76">
        <v>0.75</v>
      </c>
      <c r="E26" s="77">
        <v>4</v>
      </c>
      <c r="F26" s="78">
        <v>0.09</v>
      </c>
      <c r="G26" s="17">
        <v>1</v>
      </c>
      <c r="H26" s="27">
        <v>600</v>
      </c>
      <c r="I26" s="17">
        <v>230</v>
      </c>
      <c r="J26" s="17">
        <v>25</v>
      </c>
      <c r="K26" s="27">
        <v>1200</v>
      </c>
      <c r="L26" s="17">
        <v>3700</v>
      </c>
      <c r="M26" s="17" t="s">
        <v>159</v>
      </c>
      <c r="N26" s="17">
        <v>1</v>
      </c>
      <c r="O26" s="17">
        <v>1</v>
      </c>
      <c r="P26" s="17">
        <v>3</v>
      </c>
      <c r="Q26" s="20">
        <v>0</v>
      </c>
      <c r="R26" s="79">
        <v>0</v>
      </c>
      <c r="S26" s="38">
        <v>1</v>
      </c>
      <c r="T26" s="38">
        <v>10.07</v>
      </c>
      <c r="U26" s="38">
        <v>13.43</v>
      </c>
      <c r="V26" s="38">
        <v>3.42</v>
      </c>
      <c r="W26" s="38">
        <v>28.76</v>
      </c>
      <c r="X26" s="86">
        <v>37.25</v>
      </c>
      <c r="Y26" s="87">
        <v>47.209999000000003</v>
      </c>
      <c r="Z26" s="88">
        <v>0</v>
      </c>
      <c r="AA26" s="78">
        <v>8.5000000000000006E-2</v>
      </c>
      <c r="AB26" s="78">
        <v>42.35</v>
      </c>
      <c r="AC26" s="33">
        <v>0.24999499999999999</v>
      </c>
      <c r="AD26" s="33">
        <f t="shared" si="6"/>
        <v>0.24999499999999999</v>
      </c>
      <c r="AE26" s="33">
        <v>0.349993</v>
      </c>
      <c r="AF26" s="33">
        <f t="shared" si="7"/>
        <v>0.349993</v>
      </c>
      <c r="AG26" s="17">
        <v>40</v>
      </c>
      <c r="AH26" s="64">
        <v>23</v>
      </c>
      <c r="AI26" s="17">
        <v>1</v>
      </c>
      <c r="AJ26" s="15"/>
      <c r="AK26" s="15"/>
      <c r="AL26" s="15"/>
      <c r="AM26" s="15"/>
      <c r="AN26" s="15"/>
      <c r="AO26" s="82"/>
      <c r="AP26" s="83"/>
      <c r="AQ26" s="83"/>
      <c r="AR26" s="84"/>
      <c r="AS26" s="23"/>
      <c r="AT26" s="49"/>
      <c r="AU26" s="49"/>
      <c r="AV26" s="49"/>
      <c r="AW26" s="49"/>
      <c r="AX26" s="49"/>
      <c r="AY26" s="85"/>
      <c r="AZ26" s="85"/>
      <c r="BA26" s="85"/>
    </row>
    <row r="27" spans="1:53" ht="15.75" customHeight="1" x14ac:dyDescent="0.15">
      <c r="A27" s="39"/>
      <c r="B27" s="98"/>
      <c r="C27" s="39"/>
      <c r="D27" s="99"/>
      <c r="E27" s="100"/>
      <c r="F27" s="101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102"/>
      <c r="R27" s="102"/>
      <c r="S27" s="41"/>
      <c r="T27" s="41"/>
      <c r="U27" s="41"/>
      <c r="V27" s="41"/>
      <c r="W27" s="41"/>
      <c r="X27" s="103"/>
      <c r="Y27" s="103"/>
      <c r="Z27" s="103"/>
      <c r="AA27" s="101"/>
      <c r="AB27" s="101"/>
      <c r="AC27" s="46"/>
      <c r="AD27" s="46"/>
      <c r="AE27" s="46"/>
      <c r="AF27" s="46"/>
      <c r="AG27" s="39"/>
      <c r="AH27" s="47"/>
      <c r="AI27" s="39"/>
      <c r="AJ27" s="41"/>
      <c r="AK27" s="41"/>
      <c r="AL27" s="41"/>
      <c r="AM27" s="41"/>
      <c r="AN27" s="41"/>
      <c r="AO27" s="104"/>
      <c r="AP27" s="101"/>
      <c r="AQ27" s="101"/>
      <c r="AR27" s="105"/>
      <c r="AS27" s="47"/>
      <c r="AT27" s="39"/>
      <c r="AU27" s="39"/>
      <c r="AV27" s="39"/>
      <c r="AW27" s="39"/>
      <c r="AX27" s="39"/>
      <c r="AY27" s="41"/>
      <c r="AZ27" s="41"/>
      <c r="BA27" s="41"/>
    </row>
    <row r="28" spans="1:53" ht="15.75" customHeight="1" x14ac:dyDescent="0.15">
      <c r="A28" s="1" t="s">
        <v>68</v>
      </c>
      <c r="B28" s="66" t="s">
        <v>92</v>
      </c>
      <c r="C28" s="2" t="s">
        <v>3</v>
      </c>
      <c r="D28" s="67" t="s">
        <v>93</v>
      </c>
      <c r="E28" s="68" t="s">
        <v>94</v>
      </c>
      <c r="F28" s="69" t="s">
        <v>95</v>
      </c>
      <c r="G28" s="2" t="s">
        <v>96</v>
      </c>
      <c r="H28" s="2" t="s">
        <v>97</v>
      </c>
      <c r="I28" s="2" t="s">
        <v>98</v>
      </c>
      <c r="J28" s="2" t="s">
        <v>99</v>
      </c>
      <c r="K28" s="2" t="s">
        <v>100</v>
      </c>
      <c r="L28" s="2" t="s">
        <v>101</v>
      </c>
      <c r="M28" s="2" t="s">
        <v>102</v>
      </c>
      <c r="N28" s="2" t="s">
        <v>103</v>
      </c>
      <c r="O28" s="2" t="s">
        <v>4</v>
      </c>
      <c r="P28" s="2" t="s">
        <v>104</v>
      </c>
      <c r="Q28" s="70" t="s">
        <v>105</v>
      </c>
      <c r="R28" s="71" t="s">
        <v>106</v>
      </c>
      <c r="S28" s="4" t="s">
        <v>107</v>
      </c>
      <c r="T28" s="4" t="s">
        <v>108</v>
      </c>
      <c r="U28" s="4" t="s">
        <v>109</v>
      </c>
      <c r="V28" s="4" t="s">
        <v>110</v>
      </c>
      <c r="W28" s="4" t="s">
        <v>111</v>
      </c>
      <c r="X28" s="72" t="s">
        <v>112</v>
      </c>
      <c r="Y28" s="72" t="s">
        <v>113</v>
      </c>
      <c r="Z28" s="72" t="s">
        <v>114</v>
      </c>
      <c r="AA28" s="69" t="s">
        <v>115</v>
      </c>
      <c r="AB28" s="69" t="s">
        <v>116</v>
      </c>
      <c r="AC28" s="7" t="s">
        <v>117</v>
      </c>
      <c r="AD28" s="7" t="s">
        <v>118</v>
      </c>
      <c r="AE28" s="7" t="s">
        <v>119</v>
      </c>
      <c r="AF28" s="7" t="s">
        <v>120</v>
      </c>
      <c r="AG28" s="2" t="s">
        <v>121</v>
      </c>
      <c r="AH28" s="8" t="s">
        <v>122</v>
      </c>
      <c r="AI28" s="2" t="s">
        <v>123</v>
      </c>
      <c r="AJ28" s="2" t="s">
        <v>124</v>
      </c>
      <c r="AK28" s="2" t="s">
        <v>125</v>
      </c>
      <c r="AL28" s="2" t="s">
        <v>126</v>
      </c>
      <c r="AM28" s="2" t="s">
        <v>127</v>
      </c>
      <c r="AN28" s="2" t="s">
        <v>128</v>
      </c>
      <c r="AO28" s="106" t="s">
        <v>129</v>
      </c>
      <c r="AP28" s="2" t="s">
        <v>130</v>
      </c>
      <c r="AQ28" s="2" t="s">
        <v>131</v>
      </c>
      <c r="AR28" s="74" t="s">
        <v>132</v>
      </c>
      <c r="AS28" s="8" t="s">
        <v>133</v>
      </c>
      <c r="AT28" s="2" t="s">
        <v>134</v>
      </c>
      <c r="AU28" s="2" t="s">
        <v>135</v>
      </c>
      <c r="AV28" s="2" t="s">
        <v>136</v>
      </c>
      <c r="AW28" s="2" t="s">
        <v>137</v>
      </c>
      <c r="AX28" s="2" t="s">
        <v>138</v>
      </c>
      <c r="AY28" s="4" t="s">
        <v>139</v>
      </c>
      <c r="AZ28" s="4" t="s">
        <v>140</v>
      </c>
      <c r="BA28" s="4" t="s">
        <v>141</v>
      </c>
    </row>
    <row r="29" spans="1:53" ht="15.75" customHeight="1" x14ac:dyDescent="0.15">
      <c r="A29" s="36" t="s">
        <v>166</v>
      </c>
      <c r="B29" s="75">
        <v>1.55</v>
      </c>
      <c r="C29" s="17">
        <v>36</v>
      </c>
      <c r="D29" s="76">
        <v>0.98</v>
      </c>
      <c r="E29" s="77">
        <v>4</v>
      </c>
      <c r="F29" s="78">
        <v>0.1</v>
      </c>
      <c r="G29" s="17">
        <v>2</v>
      </c>
      <c r="H29" s="27">
        <v>300</v>
      </c>
      <c r="I29" s="17">
        <v>215</v>
      </c>
      <c r="J29" s="17">
        <v>30</v>
      </c>
      <c r="K29" s="27">
        <v>2700</v>
      </c>
      <c r="L29" s="17">
        <v>8192</v>
      </c>
      <c r="M29" s="17" t="s">
        <v>167</v>
      </c>
      <c r="N29" s="17">
        <v>1</v>
      </c>
      <c r="O29" s="17">
        <v>1</v>
      </c>
      <c r="P29" s="17">
        <v>3</v>
      </c>
      <c r="Q29" s="20">
        <v>0.4</v>
      </c>
      <c r="R29" s="79">
        <v>0.55000000000000004</v>
      </c>
      <c r="S29" s="38">
        <v>0.6</v>
      </c>
      <c r="T29" s="38">
        <v>4.8099999999999996</v>
      </c>
      <c r="U29" s="38">
        <v>6.41</v>
      </c>
      <c r="V29" s="38">
        <v>7.8</v>
      </c>
      <c r="W29" s="38">
        <v>175.06</v>
      </c>
      <c r="X29" s="86">
        <v>140.759995</v>
      </c>
      <c r="Y29" s="87">
        <v>100.94000200000001</v>
      </c>
      <c r="Z29" s="88">
        <v>0</v>
      </c>
      <c r="AA29" s="78">
        <v>0.24199999999999999</v>
      </c>
      <c r="AB29" s="78">
        <v>140</v>
      </c>
      <c r="AC29" s="33">
        <v>0.305257</v>
      </c>
      <c r="AD29" s="33">
        <v>0.41972799999999999</v>
      </c>
      <c r="AE29" s="33">
        <v>0.36799999999999999</v>
      </c>
      <c r="AF29" s="33">
        <v>0.50600000000000001</v>
      </c>
      <c r="AG29" s="17">
        <v>70</v>
      </c>
      <c r="AH29" s="64">
        <v>30</v>
      </c>
      <c r="AI29" s="17">
        <v>0</v>
      </c>
      <c r="AJ29" s="15"/>
      <c r="AK29" s="15"/>
      <c r="AL29" s="15"/>
      <c r="AM29" s="15"/>
      <c r="AN29" s="15"/>
      <c r="AO29" s="82"/>
      <c r="AP29" s="83"/>
      <c r="AQ29" s="83"/>
      <c r="AR29" s="84"/>
      <c r="AS29" s="23"/>
      <c r="AT29" s="49"/>
      <c r="AU29" s="49"/>
      <c r="AV29" s="49"/>
      <c r="AW29" s="49"/>
      <c r="AX29" s="49"/>
      <c r="AY29" s="85"/>
      <c r="AZ29" s="85"/>
      <c r="BA29" s="85"/>
    </row>
    <row r="30" spans="1:53" ht="15.75" customHeight="1" x14ac:dyDescent="0.15">
      <c r="A30" s="35" t="s">
        <v>168</v>
      </c>
      <c r="B30" s="75">
        <v>1.8</v>
      </c>
      <c r="C30" s="17">
        <v>28</v>
      </c>
      <c r="D30" s="76">
        <v>0.98</v>
      </c>
      <c r="E30" s="77">
        <v>4</v>
      </c>
      <c r="F30" s="78">
        <v>0.1</v>
      </c>
      <c r="G30" s="17">
        <v>2</v>
      </c>
      <c r="H30" s="27">
        <v>300</v>
      </c>
      <c r="I30" s="17">
        <v>220</v>
      </c>
      <c r="J30" s="17">
        <v>30</v>
      </c>
      <c r="K30" s="27">
        <v>3300</v>
      </c>
      <c r="L30" s="17">
        <v>8192</v>
      </c>
      <c r="M30" s="17" t="s">
        <v>167</v>
      </c>
      <c r="N30" s="17">
        <v>1</v>
      </c>
      <c r="O30" s="17">
        <v>1</v>
      </c>
      <c r="P30" s="17">
        <v>3</v>
      </c>
      <c r="Q30" s="20">
        <v>0.4</v>
      </c>
      <c r="R30" s="79">
        <v>0.55000000000000004</v>
      </c>
      <c r="S30" s="38">
        <v>0.5</v>
      </c>
      <c r="T30" s="38">
        <v>3.68</v>
      </c>
      <c r="U30" s="38">
        <v>4.9000000000000004</v>
      </c>
      <c r="V30" s="38">
        <v>7.29</v>
      </c>
      <c r="W30" s="38">
        <v>135.44999999999999</v>
      </c>
      <c r="X30" s="86">
        <v>105.989998</v>
      </c>
      <c r="Y30" s="87">
        <v>101.55999799999999</v>
      </c>
      <c r="Z30" s="88">
        <v>0</v>
      </c>
      <c r="AA30" s="78">
        <v>0.20799999999999999</v>
      </c>
      <c r="AB30" s="78">
        <v>110.04</v>
      </c>
      <c r="AC30" s="33">
        <v>0.30552000000000001</v>
      </c>
      <c r="AD30" s="33">
        <f>AC30</f>
        <v>0.30552000000000001</v>
      </c>
      <c r="AE30" s="33">
        <v>0.42972700000000003</v>
      </c>
      <c r="AF30" s="33">
        <f>AE30</f>
        <v>0.42972700000000003</v>
      </c>
      <c r="AG30" s="17">
        <v>60</v>
      </c>
      <c r="AH30" s="64">
        <v>24</v>
      </c>
      <c r="AI30" s="17">
        <v>0</v>
      </c>
      <c r="AJ30" s="38">
        <v>0.3</v>
      </c>
      <c r="AK30" s="38">
        <v>3.11</v>
      </c>
      <c r="AL30" s="38">
        <v>3.68</v>
      </c>
      <c r="AM30" s="38">
        <v>7.29</v>
      </c>
      <c r="AN30" s="38">
        <v>105.45</v>
      </c>
      <c r="AO30" s="89">
        <v>105.989998</v>
      </c>
      <c r="AP30" s="78">
        <v>0.20799999999999999</v>
      </c>
      <c r="AQ30" s="78">
        <v>100.04</v>
      </c>
      <c r="AR30" s="90">
        <v>60</v>
      </c>
      <c r="AS30" s="64">
        <v>16</v>
      </c>
      <c r="AT30" s="92">
        <v>0</v>
      </c>
      <c r="AU30" s="17">
        <v>150</v>
      </c>
      <c r="AV30" s="92">
        <v>3</v>
      </c>
      <c r="AW30" s="17">
        <v>45</v>
      </c>
      <c r="AX30" s="49"/>
      <c r="AY30" s="85"/>
      <c r="AZ30" s="85"/>
      <c r="BA30" s="85"/>
    </row>
    <row r="31" spans="1:53" ht="15.75" customHeight="1" x14ac:dyDescent="0.15">
      <c r="A31" s="35" t="s">
        <v>169</v>
      </c>
      <c r="B31" s="75">
        <v>1.4</v>
      </c>
      <c r="C31" s="17">
        <v>30</v>
      </c>
      <c r="D31" s="76">
        <v>0.96</v>
      </c>
      <c r="E31" s="77">
        <v>4</v>
      </c>
      <c r="F31" s="78">
        <v>0.09</v>
      </c>
      <c r="G31" s="17">
        <v>2</v>
      </c>
      <c r="H31" s="27">
        <v>300</v>
      </c>
      <c r="I31" s="17">
        <v>220</v>
      </c>
      <c r="J31" s="17">
        <v>25</v>
      </c>
      <c r="K31" s="27">
        <v>2050</v>
      </c>
      <c r="L31" s="17">
        <v>8192</v>
      </c>
      <c r="M31" s="17" t="s">
        <v>167</v>
      </c>
      <c r="N31" s="17">
        <v>1</v>
      </c>
      <c r="O31" s="17">
        <v>1</v>
      </c>
      <c r="P31" s="17">
        <v>3</v>
      </c>
      <c r="Q31" s="20">
        <v>0.4</v>
      </c>
      <c r="R31" s="79">
        <v>0.55000000000000004</v>
      </c>
      <c r="S31" s="38">
        <v>0.6</v>
      </c>
      <c r="T31" s="38">
        <v>7.39</v>
      </c>
      <c r="U31" s="38">
        <v>9.85</v>
      </c>
      <c r="V31" s="38">
        <v>6.05</v>
      </c>
      <c r="W31" s="38">
        <v>99.34</v>
      </c>
      <c r="X31" s="86">
        <v>110.38999</v>
      </c>
      <c r="Y31" s="87">
        <v>94.769997000000004</v>
      </c>
      <c r="Z31" s="88">
        <v>0</v>
      </c>
      <c r="AA31" s="78">
        <v>0.20499999999999999</v>
      </c>
      <c r="AB31" s="78">
        <v>118.71599999999999</v>
      </c>
      <c r="AC31" s="33">
        <v>0.12</v>
      </c>
      <c r="AD31" s="33">
        <v>0.48</v>
      </c>
      <c r="AE31" s="33">
        <v>0.25</v>
      </c>
      <c r="AF31" s="33">
        <v>0.5</v>
      </c>
      <c r="AG31" s="17">
        <v>60</v>
      </c>
      <c r="AH31" s="64">
        <v>20</v>
      </c>
      <c r="AI31" s="17">
        <v>1</v>
      </c>
      <c r="AJ31" s="38">
        <v>0.6</v>
      </c>
      <c r="AK31" s="38">
        <v>3.25</v>
      </c>
      <c r="AL31" s="38">
        <v>3.69</v>
      </c>
      <c r="AM31" s="38">
        <v>3.35</v>
      </c>
      <c r="AN31" s="38">
        <v>99.34</v>
      </c>
      <c r="AO31" s="89">
        <v>110.38999</v>
      </c>
      <c r="AP31" s="78">
        <v>0.20499999999999999</v>
      </c>
      <c r="AQ31" s="78">
        <v>118.71599999999999</v>
      </c>
      <c r="AR31" s="90">
        <v>50</v>
      </c>
      <c r="AS31" s="64">
        <v>20</v>
      </c>
      <c r="AT31" s="17">
        <v>1</v>
      </c>
      <c r="AU31" s="92">
        <v>220</v>
      </c>
      <c r="AV31" s="92">
        <v>3</v>
      </c>
      <c r="AW31" s="49"/>
      <c r="AX31" s="49"/>
      <c r="AY31" s="85"/>
      <c r="AZ31" s="38">
        <v>0.55000000000000004</v>
      </c>
      <c r="BA31" s="38">
        <v>7.4999999999999997E-2</v>
      </c>
    </row>
    <row r="32" spans="1:53" ht="15.75" customHeight="1" x14ac:dyDescent="0.15">
      <c r="A32" s="36" t="s">
        <v>170</v>
      </c>
      <c r="B32" s="75">
        <v>1.55</v>
      </c>
      <c r="C32" s="17">
        <v>30</v>
      </c>
      <c r="D32" s="76">
        <v>0.98</v>
      </c>
      <c r="E32" s="77">
        <v>4</v>
      </c>
      <c r="F32" s="78">
        <v>0.09</v>
      </c>
      <c r="G32" s="17">
        <v>2</v>
      </c>
      <c r="H32" s="27">
        <v>300</v>
      </c>
      <c r="I32" s="17">
        <v>215</v>
      </c>
      <c r="J32" s="17">
        <v>35</v>
      </c>
      <c r="K32" s="27">
        <v>1800</v>
      </c>
      <c r="L32" s="17">
        <v>8192</v>
      </c>
      <c r="M32" s="17" t="s">
        <v>167</v>
      </c>
      <c r="N32" s="17">
        <v>1</v>
      </c>
      <c r="O32" s="17">
        <v>1</v>
      </c>
      <c r="P32" s="17">
        <v>3</v>
      </c>
      <c r="Q32" s="20">
        <v>0.4</v>
      </c>
      <c r="R32" s="79">
        <v>0.55000000000000004</v>
      </c>
      <c r="S32" s="38">
        <v>0.6</v>
      </c>
      <c r="T32" s="38">
        <v>6.58</v>
      </c>
      <c r="U32" s="38">
        <v>8.77</v>
      </c>
      <c r="V32" s="38">
        <v>7</v>
      </c>
      <c r="W32" s="38">
        <v>123.56</v>
      </c>
      <c r="X32" s="86">
        <v>149.779999</v>
      </c>
      <c r="Y32" s="87">
        <v>105.389999</v>
      </c>
      <c r="Z32" s="88">
        <v>0</v>
      </c>
      <c r="AA32" s="78">
        <v>0.25600000000000001</v>
      </c>
      <c r="AB32" s="78">
        <v>113.58</v>
      </c>
      <c r="AC32" s="33">
        <v>0.15</v>
      </c>
      <c r="AD32" s="33">
        <v>0.47</v>
      </c>
      <c r="AE32" s="33">
        <v>0.3</v>
      </c>
      <c r="AF32" s="33">
        <v>0.5</v>
      </c>
      <c r="AG32" s="17">
        <v>70</v>
      </c>
      <c r="AH32" s="64">
        <v>21</v>
      </c>
      <c r="AI32" s="17">
        <v>1</v>
      </c>
      <c r="AJ32" s="38"/>
      <c r="AK32" s="38"/>
      <c r="AL32" s="38"/>
      <c r="AM32" s="38"/>
      <c r="AN32" s="38"/>
      <c r="AO32" s="107"/>
      <c r="AP32" s="78"/>
      <c r="AQ32" s="78"/>
      <c r="AR32" s="84"/>
      <c r="AS32" s="23"/>
      <c r="AT32" s="49"/>
      <c r="AU32" s="49"/>
      <c r="AV32" s="49"/>
      <c r="AW32" s="49"/>
      <c r="AX32" s="49"/>
      <c r="AY32" s="85"/>
      <c r="AZ32" s="85"/>
      <c r="BA32" s="85"/>
    </row>
    <row r="33" spans="1:53" ht="15.75" customHeight="1" x14ac:dyDescent="0.15">
      <c r="A33" s="35" t="s">
        <v>171</v>
      </c>
      <c r="B33" s="75">
        <v>1.4</v>
      </c>
      <c r="C33" s="17">
        <v>33</v>
      </c>
      <c r="D33" s="76">
        <v>0.97</v>
      </c>
      <c r="E33" s="77">
        <v>4</v>
      </c>
      <c r="F33" s="78">
        <v>0.09</v>
      </c>
      <c r="G33" s="17">
        <v>2</v>
      </c>
      <c r="H33" s="27">
        <v>300</v>
      </c>
      <c r="I33" s="17">
        <v>225</v>
      </c>
      <c r="J33" s="17">
        <v>30</v>
      </c>
      <c r="K33" s="27">
        <v>3100</v>
      </c>
      <c r="L33" s="17">
        <v>8192</v>
      </c>
      <c r="M33" s="17" t="s">
        <v>167</v>
      </c>
      <c r="N33" s="17">
        <v>1</v>
      </c>
      <c r="O33" s="17">
        <v>1</v>
      </c>
      <c r="P33" s="17">
        <v>3</v>
      </c>
      <c r="Q33" s="20">
        <v>0.4</v>
      </c>
      <c r="R33" s="79">
        <v>0.55000000000000004</v>
      </c>
      <c r="S33" s="38">
        <v>0.6</v>
      </c>
      <c r="T33" s="38">
        <v>4.0999999999999996</v>
      </c>
      <c r="U33" s="38">
        <v>4.9000000000000004</v>
      </c>
      <c r="V33" s="38">
        <v>7</v>
      </c>
      <c r="W33" s="38">
        <v>137.88</v>
      </c>
      <c r="X33" s="86">
        <v>97.269997000000004</v>
      </c>
      <c r="Y33" s="87">
        <v>94.410004000000001</v>
      </c>
      <c r="Z33" s="88">
        <v>0</v>
      </c>
      <c r="AA33" s="78">
        <v>0.192</v>
      </c>
      <c r="AB33" s="78">
        <v>110.994</v>
      </c>
      <c r="AC33" s="33">
        <v>0.24210000000000001</v>
      </c>
      <c r="AD33" s="33">
        <v>0.33288800000000002</v>
      </c>
      <c r="AE33" s="33">
        <v>0.33894099999999999</v>
      </c>
      <c r="AF33" s="33">
        <v>0.46604400000000001</v>
      </c>
      <c r="AG33" s="17">
        <v>70</v>
      </c>
      <c r="AH33" s="64">
        <v>23</v>
      </c>
      <c r="AI33" s="17">
        <v>0</v>
      </c>
      <c r="AJ33" s="38"/>
      <c r="AK33" s="38"/>
      <c r="AL33" s="38"/>
      <c r="AM33" s="38"/>
      <c r="AN33" s="38"/>
      <c r="AO33" s="89"/>
      <c r="AP33" s="78"/>
      <c r="AQ33" s="78"/>
      <c r="AR33" s="84"/>
      <c r="AS33" s="23"/>
      <c r="AT33" s="49"/>
      <c r="AU33" s="49"/>
      <c r="AV33" s="49"/>
      <c r="AW33" s="49"/>
      <c r="AX33" s="49"/>
      <c r="AY33" s="85"/>
      <c r="AZ33" s="85"/>
      <c r="BA33" s="85"/>
    </row>
    <row r="34" spans="1:53" ht="15.75" customHeight="1" x14ac:dyDescent="0.15">
      <c r="A34" s="35" t="s">
        <v>172</v>
      </c>
      <c r="B34" s="75">
        <v>1.4</v>
      </c>
      <c r="C34" s="32">
        <v>38</v>
      </c>
      <c r="D34" s="76">
        <v>0.99</v>
      </c>
      <c r="E34" s="77">
        <v>3.4750000000000001</v>
      </c>
      <c r="F34" s="78">
        <v>0.1</v>
      </c>
      <c r="G34" s="17">
        <v>2</v>
      </c>
      <c r="H34" s="27">
        <v>300</v>
      </c>
      <c r="I34" s="17">
        <v>225</v>
      </c>
      <c r="J34" s="32">
        <v>25</v>
      </c>
      <c r="K34" s="27">
        <v>2900</v>
      </c>
      <c r="L34" s="17">
        <v>8192</v>
      </c>
      <c r="M34" s="17" t="s">
        <v>167</v>
      </c>
      <c r="N34" s="17">
        <v>1</v>
      </c>
      <c r="O34" s="17">
        <v>1</v>
      </c>
      <c r="P34" s="17">
        <v>3</v>
      </c>
      <c r="Q34" s="20">
        <v>0.4</v>
      </c>
      <c r="R34" s="79">
        <v>0.4</v>
      </c>
      <c r="S34" s="38">
        <v>0.6</v>
      </c>
      <c r="T34" s="38">
        <v>4.0999999999999996</v>
      </c>
      <c r="U34" s="38">
        <v>4.9000000000000004</v>
      </c>
      <c r="V34" s="38">
        <v>12</v>
      </c>
      <c r="W34" s="38">
        <v>92.88</v>
      </c>
      <c r="X34" s="86">
        <v>99.699996999999996</v>
      </c>
      <c r="Y34" s="87">
        <v>96.769997000000004</v>
      </c>
      <c r="Z34" s="88">
        <v>0</v>
      </c>
      <c r="AA34" s="78">
        <v>0.19700000000000001</v>
      </c>
      <c r="AB34" s="78">
        <v>110.994</v>
      </c>
      <c r="AC34" s="33">
        <v>0.24210000000000001</v>
      </c>
      <c r="AD34" s="33">
        <v>0.33288800000000002</v>
      </c>
      <c r="AE34" s="33">
        <v>0.33894099999999999</v>
      </c>
      <c r="AF34" s="33">
        <v>0.46604400000000001</v>
      </c>
      <c r="AG34" s="17">
        <v>65</v>
      </c>
      <c r="AH34" s="64">
        <v>25</v>
      </c>
      <c r="AI34" s="17">
        <v>3</v>
      </c>
      <c r="AJ34" s="38">
        <v>0.5</v>
      </c>
      <c r="AK34" s="38">
        <v>4.0999999999999996</v>
      </c>
      <c r="AL34" s="38">
        <v>4.9000000000000004</v>
      </c>
      <c r="AM34" s="38">
        <v>7</v>
      </c>
      <c r="AN34" s="38">
        <v>122</v>
      </c>
      <c r="AO34" s="89">
        <v>99.699996999999996</v>
      </c>
      <c r="AP34" s="78">
        <v>0.19700000000000001</v>
      </c>
      <c r="AQ34" s="78">
        <v>113.672</v>
      </c>
      <c r="AR34" s="90">
        <v>65</v>
      </c>
      <c r="AS34" s="64">
        <v>21</v>
      </c>
      <c r="AT34" s="17">
        <v>0</v>
      </c>
      <c r="AU34" s="17">
        <v>225</v>
      </c>
      <c r="AV34" s="17">
        <v>0</v>
      </c>
      <c r="AW34" s="49"/>
      <c r="AX34" s="49"/>
      <c r="AY34" s="85"/>
      <c r="AZ34" s="85"/>
      <c r="BA34" s="38"/>
    </row>
    <row r="35" spans="1:53" ht="15.75" customHeight="1" x14ac:dyDescent="0.15">
      <c r="A35" s="36" t="s">
        <v>173</v>
      </c>
      <c r="B35" s="75">
        <v>2</v>
      </c>
      <c r="C35" s="17">
        <v>30</v>
      </c>
      <c r="D35" s="76">
        <v>0.98</v>
      </c>
      <c r="E35" s="77">
        <v>4</v>
      </c>
      <c r="F35" s="78">
        <v>0.11</v>
      </c>
      <c r="G35" s="17">
        <v>2</v>
      </c>
      <c r="H35" s="27">
        <v>300</v>
      </c>
      <c r="I35" s="17">
        <v>210</v>
      </c>
      <c r="J35" s="17">
        <v>30</v>
      </c>
      <c r="K35" s="27">
        <v>3000</v>
      </c>
      <c r="L35" s="17">
        <v>8192</v>
      </c>
      <c r="M35" s="17" t="s">
        <v>167</v>
      </c>
      <c r="N35" s="17">
        <v>1</v>
      </c>
      <c r="O35" s="17">
        <v>1</v>
      </c>
      <c r="P35" s="17">
        <v>3</v>
      </c>
      <c r="Q35" s="20">
        <v>0.4</v>
      </c>
      <c r="R35" s="79">
        <v>0.55000000000000004</v>
      </c>
      <c r="S35" s="38">
        <v>0.6</v>
      </c>
      <c r="T35" s="38">
        <v>3.81</v>
      </c>
      <c r="U35" s="38">
        <v>5.81</v>
      </c>
      <c r="V35" s="38">
        <v>7.95</v>
      </c>
      <c r="W35" s="38">
        <v>136.01</v>
      </c>
      <c r="X35" s="86">
        <v>109</v>
      </c>
      <c r="Y35" s="87">
        <v>78.790001000000004</v>
      </c>
      <c r="Z35" s="88">
        <v>0</v>
      </c>
      <c r="AA35" s="78">
        <v>0.188</v>
      </c>
      <c r="AB35" s="78">
        <v>83.66</v>
      </c>
      <c r="AC35" s="33">
        <v>0.37920399999999999</v>
      </c>
      <c r="AD35" s="33">
        <f>AC35</f>
        <v>0.37920399999999999</v>
      </c>
      <c r="AE35" s="33">
        <v>0.45288600000000001</v>
      </c>
      <c r="AF35" s="33">
        <f>AE35</f>
        <v>0.45288600000000001</v>
      </c>
      <c r="AG35" s="17">
        <v>60</v>
      </c>
      <c r="AH35" s="64">
        <v>28</v>
      </c>
      <c r="AI35" s="17">
        <v>2</v>
      </c>
      <c r="AJ35" s="38">
        <v>0.3</v>
      </c>
      <c r="AK35" s="38">
        <v>3.05</v>
      </c>
      <c r="AL35" s="38">
        <v>3.81</v>
      </c>
      <c r="AM35" s="38">
        <v>9.1999999999999993</v>
      </c>
      <c r="AN35" s="38">
        <v>136.01</v>
      </c>
      <c r="AO35" s="89">
        <v>109</v>
      </c>
      <c r="AP35" s="78">
        <v>0.188</v>
      </c>
      <c r="AQ35" s="78">
        <v>138.75800000000001</v>
      </c>
      <c r="AR35" s="90">
        <v>60</v>
      </c>
      <c r="AS35" s="64">
        <v>19</v>
      </c>
      <c r="AT35" s="92">
        <v>2</v>
      </c>
      <c r="AU35" s="17">
        <v>150</v>
      </c>
      <c r="AV35" s="92">
        <v>3</v>
      </c>
      <c r="AW35" s="17">
        <v>45</v>
      </c>
      <c r="AX35" s="49"/>
      <c r="AY35" s="85"/>
      <c r="AZ35" s="85"/>
      <c r="BA35" s="85"/>
    </row>
    <row r="36" spans="1:53" ht="15.75" customHeight="1" x14ac:dyDescent="0.15">
      <c r="A36" s="39"/>
      <c r="B36" s="98"/>
      <c r="C36" s="39"/>
      <c r="D36" s="99"/>
      <c r="E36" s="100"/>
      <c r="F36" s="101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102"/>
      <c r="R36" s="102"/>
      <c r="S36" s="41"/>
      <c r="T36" s="41"/>
      <c r="U36" s="41"/>
      <c r="V36" s="41"/>
      <c r="W36" s="41"/>
      <c r="X36" s="103"/>
      <c r="Y36" s="103"/>
      <c r="Z36" s="103"/>
      <c r="AA36" s="101"/>
      <c r="AB36" s="101"/>
      <c r="AC36" s="46"/>
      <c r="AD36" s="46"/>
      <c r="AE36" s="46"/>
      <c r="AF36" s="46"/>
      <c r="AG36" s="39"/>
      <c r="AH36" s="47"/>
      <c r="AI36" s="39"/>
      <c r="AJ36" s="41"/>
      <c r="AK36" s="41"/>
      <c r="AL36" s="41"/>
      <c r="AM36" s="41"/>
      <c r="AN36" s="41"/>
      <c r="AO36" s="104"/>
      <c r="AP36" s="101"/>
      <c r="AQ36" s="101"/>
      <c r="AR36" s="105"/>
      <c r="AS36" s="47"/>
      <c r="AT36" s="39"/>
      <c r="AU36" s="39"/>
      <c r="AV36" s="39"/>
      <c r="AW36" s="39"/>
      <c r="AX36" s="39"/>
      <c r="AY36" s="41"/>
      <c r="AZ36" s="41"/>
      <c r="BA36" s="41"/>
    </row>
    <row r="37" spans="1:53" ht="15.75" customHeight="1" x14ac:dyDescent="0.15">
      <c r="A37" s="1" t="s">
        <v>79</v>
      </c>
      <c r="B37" s="66" t="s">
        <v>92</v>
      </c>
      <c r="C37" s="2" t="s">
        <v>3</v>
      </c>
      <c r="D37" s="67" t="s">
        <v>93</v>
      </c>
      <c r="E37" s="68" t="s">
        <v>94</v>
      </c>
      <c r="F37" s="69" t="s">
        <v>95</v>
      </c>
      <c r="G37" s="2" t="s">
        <v>96</v>
      </c>
      <c r="H37" s="2" t="s">
        <v>97</v>
      </c>
      <c r="I37" s="2" t="s">
        <v>98</v>
      </c>
      <c r="J37" s="2" t="s">
        <v>99</v>
      </c>
      <c r="K37" s="2" t="s">
        <v>100</v>
      </c>
      <c r="L37" s="2" t="s">
        <v>101</v>
      </c>
      <c r="M37" s="2" t="s">
        <v>102</v>
      </c>
      <c r="N37" s="2" t="s">
        <v>103</v>
      </c>
      <c r="O37" s="2" t="s">
        <v>4</v>
      </c>
      <c r="P37" s="2" t="s">
        <v>104</v>
      </c>
      <c r="Q37" s="70" t="s">
        <v>105</v>
      </c>
      <c r="R37" s="71" t="s">
        <v>106</v>
      </c>
      <c r="S37" s="4" t="s">
        <v>107</v>
      </c>
      <c r="T37" s="4" t="s">
        <v>108</v>
      </c>
      <c r="U37" s="4" t="s">
        <v>109</v>
      </c>
      <c r="V37" s="4" t="s">
        <v>110</v>
      </c>
      <c r="W37" s="4" t="s">
        <v>111</v>
      </c>
      <c r="X37" s="72" t="s">
        <v>112</v>
      </c>
      <c r="Y37" s="72" t="s">
        <v>113</v>
      </c>
      <c r="Z37" s="72" t="s">
        <v>114</v>
      </c>
      <c r="AA37" s="69" t="s">
        <v>115</v>
      </c>
      <c r="AB37" s="69" t="s">
        <v>116</v>
      </c>
      <c r="AC37" s="7" t="s">
        <v>117</v>
      </c>
      <c r="AD37" s="7" t="s">
        <v>118</v>
      </c>
      <c r="AE37" s="7" t="s">
        <v>119</v>
      </c>
      <c r="AF37" s="7" t="s">
        <v>120</v>
      </c>
      <c r="AG37" s="2" t="s">
        <v>121</v>
      </c>
      <c r="AH37" s="8" t="s">
        <v>122</v>
      </c>
      <c r="AI37" s="2" t="s">
        <v>123</v>
      </c>
      <c r="AJ37" s="2" t="s">
        <v>124</v>
      </c>
      <c r="AK37" s="2" t="s">
        <v>125</v>
      </c>
      <c r="AL37" s="2" t="s">
        <v>126</v>
      </c>
      <c r="AM37" s="2" t="s">
        <v>127</v>
      </c>
      <c r="AN37" s="2" t="s">
        <v>128</v>
      </c>
      <c r="AO37" s="106" t="s">
        <v>129</v>
      </c>
      <c r="AP37" s="2" t="s">
        <v>130</v>
      </c>
      <c r="AQ37" s="2" t="s">
        <v>131</v>
      </c>
      <c r="AR37" s="74" t="s">
        <v>132</v>
      </c>
      <c r="AS37" s="8" t="s">
        <v>133</v>
      </c>
      <c r="AT37" s="2" t="s">
        <v>134</v>
      </c>
      <c r="AU37" s="2" t="s">
        <v>135</v>
      </c>
      <c r="AV37" s="2" t="s">
        <v>136</v>
      </c>
      <c r="AW37" s="2" t="s">
        <v>137</v>
      </c>
      <c r="AX37" s="2" t="s">
        <v>138</v>
      </c>
      <c r="AY37" s="4" t="s">
        <v>139</v>
      </c>
      <c r="AZ37" s="4" t="s">
        <v>140</v>
      </c>
      <c r="BA37" s="4" t="s">
        <v>141</v>
      </c>
    </row>
    <row r="38" spans="1:53" ht="15.75" customHeight="1" x14ac:dyDescent="0.15">
      <c r="A38" s="9" t="s">
        <v>174</v>
      </c>
      <c r="B38" s="75">
        <v>1.6</v>
      </c>
      <c r="C38" s="17">
        <v>32</v>
      </c>
      <c r="D38" s="76">
        <v>0.97</v>
      </c>
      <c r="E38" s="77">
        <v>4</v>
      </c>
      <c r="F38" s="78">
        <v>0.08</v>
      </c>
      <c r="G38" s="17">
        <v>2</v>
      </c>
      <c r="H38" s="27">
        <v>300</v>
      </c>
      <c r="I38" s="17">
        <v>195</v>
      </c>
      <c r="J38" s="17">
        <v>100</v>
      </c>
      <c r="K38" s="27">
        <v>5200</v>
      </c>
      <c r="L38" s="17">
        <v>8192</v>
      </c>
      <c r="M38" s="17" t="s">
        <v>175</v>
      </c>
      <c r="N38" s="17">
        <v>1</v>
      </c>
      <c r="O38" s="17">
        <v>1</v>
      </c>
      <c r="P38" s="17">
        <v>1</v>
      </c>
      <c r="Q38" s="20">
        <v>0.4</v>
      </c>
      <c r="R38" s="79">
        <v>0.55000000000000004</v>
      </c>
      <c r="S38" s="38">
        <v>2</v>
      </c>
      <c r="T38" s="38">
        <v>5.34</v>
      </c>
      <c r="U38" s="38">
        <v>7.7</v>
      </c>
      <c r="V38" s="38">
        <v>3.56</v>
      </c>
      <c r="W38" s="38">
        <v>156.25</v>
      </c>
      <c r="X38" s="86">
        <v>279.47000100000002</v>
      </c>
      <c r="Y38" s="87">
        <v>118.269997</v>
      </c>
      <c r="Z38" s="88">
        <v>0</v>
      </c>
      <c r="AA38" s="78">
        <v>0.39800000000000002</v>
      </c>
      <c r="AB38" s="78">
        <v>132.81</v>
      </c>
      <c r="AC38" s="33">
        <v>0.59209299999999998</v>
      </c>
      <c r="AD38" s="33">
        <f>AC38</f>
        <v>0.59209299999999998</v>
      </c>
      <c r="AE38" s="33">
        <v>0.82893099999999997</v>
      </c>
      <c r="AF38" s="33">
        <f>AE38</f>
        <v>0.82893099999999997</v>
      </c>
      <c r="AG38" s="17">
        <v>50</v>
      </c>
      <c r="AH38" s="64">
        <v>25</v>
      </c>
      <c r="AI38" s="17">
        <v>2</v>
      </c>
      <c r="AJ38" s="15"/>
      <c r="AK38" s="15"/>
      <c r="AL38" s="15"/>
      <c r="AM38" s="15"/>
      <c r="AN38" s="15"/>
      <c r="AO38" s="82"/>
      <c r="AP38" s="83"/>
      <c r="AQ38" s="83"/>
      <c r="AR38" s="84"/>
      <c r="AS38" s="23"/>
      <c r="AT38" s="49"/>
      <c r="AU38" s="49"/>
      <c r="AV38" s="49"/>
      <c r="AW38" s="49"/>
      <c r="AX38" s="49"/>
      <c r="AY38" s="85"/>
      <c r="AZ38" s="85"/>
      <c r="BA38" s="85"/>
    </row>
    <row r="39" spans="1:53" ht="15.75" customHeight="1" x14ac:dyDescent="0.15">
      <c r="A39" s="9" t="s">
        <v>176</v>
      </c>
      <c r="B39" s="108">
        <v>1.42</v>
      </c>
      <c r="C39" s="109">
        <v>35</v>
      </c>
      <c r="D39" s="110">
        <v>0.97</v>
      </c>
      <c r="E39" s="77">
        <v>4</v>
      </c>
      <c r="F39" s="111">
        <v>7.4999999999999997E-2</v>
      </c>
      <c r="G39" s="109">
        <v>2</v>
      </c>
      <c r="H39" s="112">
        <v>300</v>
      </c>
      <c r="I39" s="113">
        <v>150</v>
      </c>
      <c r="J39" s="109">
        <v>150</v>
      </c>
      <c r="K39" s="112">
        <v>1700</v>
      </c>
      <c r="L39" s="109">
        <v>8192</v>
      </c>
      <c r="M39" s="109" t="s">
        <v>175</v>
      </c>
      <c r="N39" s="109">
        <v>1</v>
      </c>
      <c r="O39" s="109">
        <v>1</v>
      </c>
      <c r="P39" s="109">
        <v>1</v>
      </c>
      <c r="Q39" s="114">
        <v>0.4</v>
      </c>
      <c r="R39" s="114">
        <v>0.55000000000000004</v>
      </c>
      <c r="S39" s="114">
        <v>2</v>
      </c>
      <c r="T39" s="114">
        <v>7.63</v>
      </c>
      <c r="U39" s="114">
        <v>10.17</v>
      </c>
      <c r="V39" s="114">
        <v>30</v>
      </c>
      <c r="W39" s="114">
        <v>159.13999999999999</v>
      </c>
      <c r="X39" s="115">
        <v>292.23001099999999</v>
      </c>
      <c r="Y39" s="115">
        <v>116.290001</v>
      </c>
      <c r="Z39" s="81">
        <v>0</v>
      </c>
      <c r="AA39" s="111">
        <v>0.40899999999999997</v>
      </c>
      <c r="AB39" s="111">
        <v>136.43</v>
      </c>
      <c r="AC39" s="95">
        <v>0.25</v>
      </c>
      <c r="AD39" s="95">
        <v>0.08</v>
      </c>
      <c r="AE39" s="95">
        <v>0.3</v>
      </c>
      <c r="AF39" s="95">
        <v>0.1</v>
      </c>
      <c r="AG39" s="32">
        <v>0</v>
      </c>
      <c r="AH39" s="64">
        <v>20</v>
      </c>
      <c r="AI39" s="17">
        <v>2</v>
      </c>
      <c r="AJ39" s="15"/>
      <c r="AK39" s="15"/>
      <c r="AL39" s="15"/>
      <c r="AM39" s="15"/>
      <c r="AN39" s="15"/>
      <c r="AO39" s="82"/>
      <c r="AP39" s="83"/>
      <c r="AQ39" s="83"/>
      <c r="AR39" s="84"/>
      <c r="AS39" s="23"/>
      <c r="AT39" s="49"/>
      <c r="AU39" s="49"/>
      <c r="AV39" s="49"/>
      <c r="AW39" s="49"/>
      <c r="AX39" s="49"/>
      <c r="AY39" s="85"/>
      <c r="AZ39" s="85"/>
      <c r="BA39" s="85"/>
    </row>
    <row r="40" spans="1:53" ht="15.75" customHeight="1" x14ac:dyDescent="0.15">
      <c r="A40" s="39"/>
      <c r="B40" s="98"/>
      <c r="C40" s="39"/>
      <c r="D40" s="99"/>
      <c r="E40" s="100"/>
      <c r="F40" s="101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102"/>
      <c r="R40" s="102"/>
      <c r="S40" s="41"/>
      <c r="T40" s="41"/>
      <c r="U40" s="41"/>
      <c r="V40" s="41"/>
      <c r="W40" s="41"/>
      <c r="X40" s="103"/>
      <c r="Y40" s="103"/>
      <c r="Z40" s="103"/>
      <c r="AA40" s="101"/>
      <c r="AB40" s="101"/>
      <c r="AC40" s="46"/>
      <c r="AD40" s="46"/>
      <c r="AE40" s="46"/>
      <c r="AF40" s="46"/>
      <c r="AG40" s="39"/>
      <c r="AH40" s="47"/>
      <c r="AI40" s="39"/>
      <c r="AJ40" s="41"/>
      <c r="AK40" s="41"/>
      <c r="AL40" s="41"/>
      <c r="AM40" s="41"/>
      <c r="AN40" s="41"/>
      <c r="AO40" s="104"/>
      <c r="AP40" s="101"/>
      <c r="AQ40" s="101"/>
      <c r="AR40" s="105"/>
      <c r="AS40" s="47"/>
      <c r="AT40" s="39"/>
      <c r="AU40" s="39"/>
      <c r="AV40" s="39"/>
      <c r="AW40" s="39"/>
      <c r="AX40" s="39"/>
      <c r="AY40" s="41"/>
      <c r="AZ40" s="41"/>
      <c r="BA40" s="41"/>
    </row>
    <row r="41" spans="1:53" ht="15.75" customHeight="1" x14ac:dyDescent="0.15">
      <c r="A41" s="1" t="s">
        <v>82</v>
      </c>
      <c r="B41" s="66" t="s">
        <v>92</v>
      </c>
      <c r="C41" s="2" t="s">
        <v>3</v>
      </c>
      <c r="D41" s="67" t="s">
        <v>93</v>
      </c>
      <c r="E41" s="68" t="s">
        <v>94</v>
      </c>
      <c r="F41" s="69" t="s">
        <v>95</v>
      </c>
      <c r="G41" s="2" t="s">
        <v>96</v>
      </c>
      <c r="H41" s="2" t="s">
        <v>97</v>
      </c>
      <c r="I41" s="2" t="s">
        <v>98</v>
      </c>
      <c r="J41" s="2" t="s">
        <v>99</v>
      </c>
      <c r="K41" s="2" t="s">
        <v>100</v>
      </c>
      <c r="L41" s="2" t="s">
        <v>101</v>
      </c>
      <c r="M41" s="2" t="s">
        <v>102</v>
      </c>
      <c r="N41" s="2" t="s">
        <v>103</v>
      </c>
      <c r="O41" s="2" t="s">
        <v>4</v>
      </c>
      <c r="P41" s="2" t="s">
        <v>104</v>
      </c>
      <c r="Q41" s="70" t="s">
        <v>105</v>
      </c>
      <c r="R41" s="71" t="s">
        <v>106</v>
      </c>
      <c r="S41" s="4" t="s">
        <v>107</v>
      </c>
      <c r="T41" s="4" t="s">
        <v>108</v>
      </c>
      <c r="U41" s="4" t="s">
        <v>109</v>
      </c>
      <c r="V41" s="4" t="s">
        <v>110</v>
      </c>
      <c r="W41" s="4" t="s">
        <v>111</v>
      </c>
      <c r="X41" s="72" t="s">
        <v>112</v>
      </c>
      <c r="Y41" s="72" t="s">
        <v>113</v>
      </c>
      <c r="Z41" s="72" t="s">
        <v>114</v>
      </c>
      <c r="AA41" s="69" t="s">
        <v>115</v>
      </c>
      <c r="AB41" s="69" t="s">
        <v>116</v>
      </c>
      <c r="AC41" s="7" t="s">
        <v>117</v>
      </c>
      <c r="AD41" s="7" t="s">
        <v>118</v>
      </c>
      <c r="AE41" s="7" t="s">
        <v>119</v>
      </c>
      <c r="AF41" s="7" t="s">
        <v>120</v>
      </c>
      <c r="AG41" s="2" t="s">
        <v>121</v>
      </c>
      <c r="AH41" s="8" t="s">
        <v>122</v>
      </c>
      <c r="AI41" s="2" t="s">
        <v>123</v>
      </c>
      <c r="AJ41" s="2" t="s">
        <v>124</v>
      </c>
      <c r="AK41" s="2" t="s">
        <v>125</v>
      </c>
      <c r="AL41" s="2" t="s">
        <v>126</v>
      </c>
      <c r="AM41" s="2" t="s">
        <v>127</v>
      </c>
      <c r="AN41" s="2" t="s">
        <v>128</v>
      </c>
      <c r="AO41" s="106" t="s">
        <v>129</v>
      </c>
      <c r="AP41" s="2" t="s">
        <v>130</v>
      </c>
      <c r="AQ41" s="2" t="s">
        <v>131</v>
      </c>
      <c r="AR41" s="74" t="s">
        <v>132</v>
      </c>
      <c r="AS41" s="8" t="s">
        <v>133</v>
      </c>
      <c r="AT41" s="2" t="s">
        <v>134</v>
      </c>
      <c r="AU41" s="2" t="s">
        <v>135</v>
      </c>
      <c r="AV41" s="2" t="s">
        <v>136</v>
      </c>
      <c r="AW41" s="2" t="s">
        <v>137</v>
      </c>
      <c r="AX41" s="2" t="s">
        <v>138</v>
      </c>
      <c r="AY41" s="4" t="s">
        <v>139</v>
      </c>
      <c r="AZ41" s="4" t="s">
        <v>140</v>
      </c>
      <c r="BA41" s="4" t="s">
        <v>141</v>
      </c>
    </row>
    <row r="42" spans="1:53" ht="15.75" customHeight="1" x14ac:dyDescent="0.15">
      <c r="A42" s="9" t="s">
        <v>177</v>
      </c>
      <c r="B42" s="75">
        <v>1.95</v>
      </c>
      <c r="C42" s="17">
        <v>115</v>
      </c>
      <c r="D42" s="76">
        <v>0.99</v>
      </c>
      <c r="E42" s="77">
        <v>4</v>
      </c>
      <c r="F42" s="78">
        <v>1.4550000000000001</v>
      </c>
      <c r="G42" s="17">
        <v>2.5</v>
      </c>
      <c r="H42" s="27">
        <v>100</v>
      </c>
      <c r="I42" s="17">
        <v>200</v>
      </c>
      <c r="J42" s="17">
        <v>10</v>
      </c>
      <c r="K42" s="27">
        <v>4750</v>
      </c>
      <c r="L42" s="17">
        <v>8192</v>
      </c>
      <c r="M42" s="17" t="s">
        <v>178</v>
      </c>
      <c r="N42" s="17">
        <v>0</v>
      </c>
      <c r="O42" s="17">
        <v>1</v>
      </c>
      <c r="P42" s="17">
        <v>0</v>
      </c>
      <c r="Q42" s="20">
        <v>0.35</v>
      </c>
      <c r="R42" s="79">
        <v>0.4</v>
      </c>
      <c r="S42" s="38">
        <v>0.2</v>
      </c>
      <c r="T42" s="38">
        <v>60.6</v>
      </c>
      <c r="U42" s="38">
        <v>80.8</v>
      </c>
      <c r="V42" s="38">
        <v>53.85</v>
      </c>
      <c r="W42" s="38">
        <v>176.48</v>
      </c>
      <c r="X42" s="86">
        <v>133.83000200000001</v>
      </c>
      <c r="Y42" s="87">
        <v>172.86000100000001</v>
      </c>
      <c r="Z42" s="88">
        <v>0</v>
      </c>
      <c r="AA42" s="78">
        <v>0.307</v>
      </c>
      <c r="AB42" s="78">
        <v>136.5</v>
      </c>
      <c r="AC42" s="33">
        <v>0.24671000000000001</v>
      </c>
      <c r="AD42" s="33">
        <f t="shared" ref="AD42:AD45" si="8">AC42</f>
        <v>0.24671000000000001</v>
      </c>
      <c r="AE42" s="33">
        <v>0.34538999999999997</v>
      </c>
      <c r="AF42" s="33">
        <f t="shared" ref="AF42:AF45" si="9">AE42</f>
        <v>0.34538999999999997</v>
      </c>
      <c r="AG42" s="17">
        <v>20</v>
      </c>
      <c r="AH42" s="64">
        <v>78</v>
      </c>
      <c r="AI42" s="17">
        <v>15</v>
      </c>
      <c r="AJ42" s="38">
        <v>0.2</v>
      </c>
      <c r="AK42" s="38">
        <v>1.5</v>
      </c>
      <c r="AL42" s="38">
        <v>2</v>
      </c>
      <c r="AM42" s="38">
        <v>53.85</v>
      </c>
      <c r="AN42" s="38">
        <v>176.48</v>
      </c>
      <c r="AO42" s="89">
        <v>133.83000200000001</v>
      </c>
      <c r="AP42" s="78">
        <v>0.1</v>
      </c>
      <c r="AQ42" s="78">
        <v>136.5</v>
      </c>
      <c r="AR42" s="90">
        <v>20</v>
      </c>
      <c r="AS42" s="64">
        <v>25</v>
      </c>
      <c r="AT42" s="92">
        <v>2</v>
      </c>
      <c r="AU42" s="17">
        <v>100</v>
      </c>
      <c r="AV42" s="92">
        <v>0</v>
      </c>
      <c r="AW42" s="17">
        <v>40</v>
      </c>
      <c r="AX42" s="17">
        <v>10</v>
      </c>
      <c r="AY42" s="85"/>
      <c r="AZ42" s="85"/>
      <c r="BA42" s="85"/>
    </row>
    <row r="43" spans="1:53" ht="15.75" customHeight="1" x14ac:dyDescent="0.15">
      <c r="A43" s="36" t="s">
        <v>179</v>
      </c>
      <c r="B43" s="75">
        <v>1.65</v>
      </c>
      <c r="C43" s="17">
        <v>80</v>
      </c>
      <c r="D43" s="76">
        <v>0.98</v>
      </c>
      <c r="E43" s="77">
        <v>4</v>
      </c>
      <c r="F43" s="78">
        <v>0.25</v>
      </c>
      <c r="G43" s="17">
        <v>2.5</v>
      </c>
      <c r="H43" s="27">
        <v>300</v>
      </c>
      <c r="I43" s="17">
        <v>215</v>
      </c>
      <c r="J43" s="17">
        <v>20</v>
      </c>
      <c r="K43" s="27">
        <v>5000</v>
      </c>
      <c r="L43" s="17">
        <v>8192</v>
      </c>
      <c r="M43" s="17" t="s">
        <v>178</v>
      </c>
      <c r="N43" s="17">
        <v>1</v>
      </c>
      <c r="O43" s="17">
        <v>1</v>
      </c>
      <c r="P43" s="17">
        <v>0</v>
      </c>
      <c r="Q43" s="20">
        <v>0.5</v>
      </c>
      <c r="R43" s="79">
        <v>0.65</v>
      </c>
      <c r="S43" s="38">
        <v>0.3</v>
      </c>
      <c r="T43" s="38">
        <v>19.350000000000001</v>
      </c>
      <c r="U43" s="38">
        <v>25.8</v>
      </c>
      <c r="V43" s="38">
        <v>18.61</v>
      </c>
      <c r="W43" s="38">
        <v>150.47999999999999</v>
      </c>
      <c r="X43" s="86">
        <v>153.770004</v>
      </c>
      <c r="Y43" s="87">
        <v>107.69000200000001</v>
      </c>
      <c r="Z43" s="88">
        <v>0</v>
      </c>
      <c r="AA43" s="78">
        <v>0.26200000000000001</v>
      </c>
      <c r="AB43" s="78">
        <v>116.39</v>
      </c>
      <c r="AC43" s="33">
        <v>0.38880799999999999</v>
      </c>
      <c r="AD43" s="33">
        <f t="shared" si="8"/>
        <v>0.38880799999999999</v>
      </c>
      <c r="AE43" s="33">
        <v>0.54433100000000001</v>
      </c>
      <c r="AF43" s="33">
        <f t="shared" si="9"/>
        <v>0.54433100000000001</v>
      </c>
      <c r="AG43" s="17">
        <v>30</v>
      </c>
      <c r="AH43" s="64">
        <v>30</v>
      </c>
      <c r="AI43" s="17">
        <v>4</v>
      </c>
      <c r="AJ43" s="38">
        <v>0.3</v>
      </c>
      <c r="AK43" s="38">
        <v>1.5</v>
      </c>
      <c r="AL43" s="38">
        <v>2</v>
      </c>
      <c r="AM43" s="38">
        <v>18.61</v>
      </c>
      <c r="AN43" s="38">
        <v>150.47999999999999</v>
      </c>
      <c r="AO43" s="89">
        <v>153.770004</v>
      </c>
      <c r="AP43" s="78">
        <v>0.26200000000000001</v>
      </c>
      <c r="AQ43" s="78">
        <v>116.39</v>
      </c>
      <c r="AR43" s="90">
        <v>30</v>
      </c>
      <c r="AS43" s="64">
        <v>30</v>
      </c>
      <c r="AT43" s="92">
        <v>4</v>
      </c>
      <c r="AU43" s="17">
        <v>120</v>
      </c>
      <c r="AV43" s="92">
        <v>0</v>
      </c>
      <c r="AW43" s="17">
        <v>40</v>
      </c>
      <c r="AX43" s="17">
        <v>15</v>
      </c>
      <c r="AY43" s="85"/>
      <c r="AZ43" s="85"/>
      <c r="BA43" s="85"/>
    </row>
    <row r="44" spans="1:53" ht="15.75" customHeight="1" x14ac:dyDescent="0.15">
      <c r="A44" s="35" t="s">
        <v>180</v>
      </c>
      <c r="B44" s="75">
        <v>1.65</v>
      </c>
      <c r="C44" s="17">
        <v>80</v>
      </c>
      <c r="D44" s="76">
        <v>0.98</v>
      </c>
      <c r="E44" s="77">
        <v>4</v>
      </c>
      <c r="F44" s="78">
        <v>0.25</v>
      </c>
      <c r="G44" s="17">
        <v>2.5</v>
      </c>
      <c r="H44" s="27">
        <v>300</v>
      </c>
      <c r="I44" s="17">
        <v>215</v>
      </c>
      <c r="J44" s="17">
        <v>20</v>
      </c>
      <c r="K44" s="27">
        <v>5000</v>
      </c>
      <c r="L44" s="17">
        <v>8192</v>
      </c>
      <c r="M44" s="17" t="s">
        <v>178</v>
      </c>
      <c r="N44" s="17">
        <v>1</v>
      </c>
      <c r="O44" s="17">
        <v>1</v>
      </c>
      <c r="P44" s="17">
        <v>0</v>
      </c>
      <c r="Q44" s="20">
        <v>0.35</v>
      </c>
      <c r="R44" s="79">
        <v>0.4</v>
      </c>
      <c r="S44" s="38">
        <v>0.3</v>
      </c>
      <c r="T44" s="38">
        <v>19.350000000000001</v>
      </c>
      <c r="U44" s="38">
        <v>25.8</v>
      </c>
      <c r="V44" s="38">
        <v>18.61</v>
      </c>
      <c r="W44" s="38">
        <v>150.47999999999999</v>
      </c>
      <c r="X44" s="86">
        <v>153.770004</v>
      </c>
      <c r="Y44" s="87">
        <v>107.69000200000001</v>
      </c>
      <c r="Z44" s="88">
        <v>0</v>
      </c>
      <c r="AA44" s="78">
        <v>0.26200000000000001</v>
      </c>
      <c r="AB44" s="78">
        <v>116.39</v>
      </c>
      <c r="AC44" s="33">
        <v>0.38880799999999999</v>
      </c>
      <c r="AD44" s="33">
        <f t="shared" si="8"/>
        <v>0.38880799999999999</v>
      </c>
      <c r="AE44" s="33">
        <v>0.54433100000000001</v>
      </c>
      <c r="AF44" s="33">
        <f t="shared" si="9"/>
        <v>0.54433100000000001</v>
      </c>
      <c r="AG44" s="17">
        <v>30</v>
      </c>
      <c r="AH44" s="64">
        <v>31</v>
      </c>
      <c r="AI44" s="17">
        <v>4</v>
      </c>
      <c r="AJ44" s="38">
        <v>0.3</v>
      </c>
      <c r="AK44" s="38">
        <v>1.5</v>
      </c>
      <c r="AL44" s="38">
        <v>2</v>
      </c>
      <c r="AM44" s="38">
        <v>18.61</v>
      </c>
      <c r="AN44" s="38">
        <v>150.47999999999999</v>
      </c>
      <c r="AO44" s="89">
        <v>153.770004</v>
      </c>
      <c r="AP44" s="78">
        <v>0.26200000000000001</v>
      </c>
      <c r="AQ44" s="78">
        <v>116.39</v>
      </c>
      <c r="AR44" s="90">
        <v>30</v>
      </c>
      <c r="AS44" s="64">
        <v>31</v>
      </c>
      <c r="AT44" s="92">
        <v>4</v>
      </c>
      <c r="AU44" s="17">
        <v>120</v>
      </c>
      <c r="AV44" s="92">
        <v>0</v>
      </c>
      <c r="AW44" s="17">
        <v>40</v>
      </c>
      <c r="AX44" s="17">
        <v>15</v>
      </c>
      <c r="AY44" s="85"/>
      <c r="AZ44" s="85"/>
      <c r="BA44" s="85"/>
    </row>
    <row r="45" spans="1:53" ht="15.75" customHeight="1" x14ac:dyDescent="0.15">
      <c r="A45" s="9" t="s">
        <v>181</v>
      </c>
      <c r="B45" s="75">
        <v>1.7</v>
      </c>
      <c r="C45" s="17">
        <v>88</v>
      </c>
      <c r="D45" s="76">
        <v>0.98</v>
      </c>
      <c r="E45" s="77">
        <v>4</v>
      </c>
      <c r="F45" s="78">
        <v>1.25</v>
      </c>
      <c r="G45" s="17">
        <v>2.5</v>
      </c>
      <c r="H45" s="27">
        <v>300</v>
      </c>
      <c r="I45" s="32">
        <v>230</v>
      </c>
      <c r="J45" s="17">
        <v>10</v>
      </c>
      <c r="K45" s="27">
        <v>1700</v>
      </c>
      <c r="L45" s="17">
        <v>8192</v>
      </c>
      <c r="M45" s="17" t="s">
        <v>178</v>
      </c>
      <c r="N45" s="17">
        <v>0</v>
      </c>
      <c r="O45" s="17">
        <v>1</v>
      </c>
      <c r="P45" s="17">
        <v>0</v>
      </c>
      <c r="Q45" s="20">
        <v>0.35</v>
      </c>
      <c r="R45" s="79">
        <v>0.4</v>
      </c>
      <c r="S45" s="38">
        <v>0.28000000000000003</v>
      </c>
      <c r="T45" s="38">
        <v>23.78</v>
      </c>
      <c r="U45" s="38">
        <v>31.7</v>
      </c>
      <c r="V45" s="38">
        <v>22.92</v>
      </c>
      <c r="W45" s="38">
        <v>123.45</v>
      </c>
      <c r="X45" s="86">
        <v>5.72</v>
      </c>
      <c r="Y45" s="87">
        <v>208.720001</v>
      </c>
      <c r="Z45" s="88">
        <v>0</v>
      </c>
      <c r="AA45" s="78">
        <v>0.215</v>
      </c>
      <c r="AB45" s="78">
        <v>95.49</v>
      </c>
      <c r="AC45" s="33">
        <v>5.5782999999999999E-2</v>
      </c>
      <c r="AD45" s="33">
        <f t="shared" si="8"/>
        <v>5.5782999999999999E-2</v>
      </c>
      <c r="AE45" s="33">
        <v>0.142096</v>
      </c>
      <c r="AF45" s="33">
        <f t="shared" si="9"/>
        <v>0.142096</v>
      </c>
      <c r="AG45" s="17">
        <v>20</v>
      </c>
      <c r="AH45" s="64">
        <v>33</v>
      </c>
      <c r="AI45" s="17">
        <v>15</v>
      </c>
      <c r="AJ45" s="38">
        <v>0.23</v>
      </c>
      <c r="AK45" s="38">
        <v>2.8</v>
      </c>
      <c r="AL45" s="38">
        <v>3</v>
      </c>
      <c r="AM45" s="38">
        <v>22.92</v>
      </c>
      <c r="AN45" s="38">
        <v>123.45</v>
      </c>
      <c r="AO45" s="89">
        <v>5.72</v>
      </c>
      <c r="AP45" s="78">
        <v>0.215</v>
      </c>
      <c r="AQ45" s="78">
        <v>95.49</v>
      </c>
      <c r="AR45" s="90">
        <v>20</v>
      </c>
      <c r="AS45" s="64">
        <v>25</v>
      </c>
      <c r="AT45" s="92">
        <v>2</v>
      </c>
      <c r="AU45" s="32">
        <v>230</v>
      </c>
      <c r="AV45" s="92">
        <v>0</v>
      </c>
      <c r="AW45" s="17">
        <v>40</v>
      </c>
      <c r="AX45" s="17">
        <v>15</v>
      </c>
      <c r="AY45" s="85"/>
      <c r="AZ45" s="85"/>
      <c r="BA45" s="8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38" width="11.6640625" customWidth="1"/>
    <col min="39" max="39" width="4.5" customWidth="1"/>
    <col min="40" max="42" width="11.6640625" customWidth="1"/>
    <col min="43" max="43" width="3.6640625" customWidth="1"/>
    <col min="44" max="47" width="11.6640625" customWidth="1"/>
    <col min="48" max="48" width="4.5" customWidth="1"/>
    <col min="49" max="50" width="11.6640625" customWidth="1"/>
    <col min="51" max="51" width="4.5" customWidth="1"/>
    <col min="52" max="58" width="11.6640625" customWidth="1"/>
    <col min="59" max="59" width="4.5" customWidth="1"/>
    <col min="60" max="61" width="11.6640625" customWidth="1"/>
    <col min="62" max="62" width="4.5" customWidth="1"/>
    <col min="63" max="64" width="11.6640625" customWidth="1"/>
  </cols>
  <sheetData>
    <row r="1" spans="1:64" ht="15.75" customHeight="1" x14ac:dyDescent="0.15">
      <c r="A1" s="116" t="s">
        <v>0</v>
      </c>
      <c r="B1" s="117" t="s">
        <v>20</v>
      </c>
      <c r="C1" s="117" t="s">
        <v>19</v>
      </c>
      <c r="D1" s="117" t="s">
        <v>21</v>
      </c>
      <c r="E1" s="118" t="s">
        <v>182</v>
      </c>
      <c r="F1" s="117" t="s">
        <v>183</v>
      </c>
      <c r="G1" s="117" t="s">
        <v>184</v>
      </c>
      <c r="H1" s="118" t="s">
        <v>185</v>
      </c>
      <c r="I1" s="118" t="s">
        <v>186</v>
      </c>
      <c r="J1" s="119" t="s">
        <v>187</v>
      </c>
      <c r="K1" s="120" t="s">
        <v>188</v>
      </c>
      <c r="L1" s="120" t="s">
        <v>189</v>
      </c>
      <c r="M1" s="120" t="s">
        <v>190</v>
      </c>
      <c r="N1" s="120" t="s">
        <v>191</v>
      </c>
      <c r="O1" s="121" t="s">
        <v>192</v>
      </c>
      <c r="P1" s="121" t="s">
        <v>193</v>
      </c>
      <c r="Q1" s="121" t="s">
        <v>194</v>
      </c>
      <c r="R1" s="121" t="s">
        <v>195</v>
      </c>
      <c r="S1" s="122"/>
      <c r="T1" s="122"/>
      <c r="U1" s="122"/>
      <c r="V1" s="122"/>
      <c r="W1" s="122"/>
      <c r="X1" s="123"/>
      <c r="Y1" s="120" t="s">
        <v>196</v>
      </c>
      <c r="Z1" s="120" t="s">
        <v>197</v>
      </c>
      <c r="AA1" s="120" t="s">
        <v>198</v>
      </c>
      <c r="AB1" s="121" t="s">
        <v>199</v>
      </c>
      <c r="AC1" s="121" t="s">
        <v>200</v>
      </c>
      <c r="AD1" s="121" t="s">
        <v>201</v>
      </c>
      <c r="AE1" s="121" t="s">
        <v>202</v>
      </c>
      <c r="AF1" s="121" t="s">
        <v>203</v>
      </c>
      <c r="AG1" s="121" t="s">
        <v>204</v>
      </c>
      <c r="AM1" s="124"/>
      <c r="AN1" s="125" t="s">
        <v>205</v>
      </c>
      <c r="AO1" s="125" t="s">
        <v>206</v>
      </c>
      <c r="AP1" s="125" t="s">
        <v>207</v>
      </c>
      <c r="AQ1" s="124"/>
      <c r="AR1" s="117" t="s">
        <v>208</v>
      </c>
      <c r="AS1" s="117" t="s">
        <v>209</v>
      </c>
      <c r="AT1" s="117" t="s">
        <v>210</v>
      </c>
      <c r="AU1" s="118" t="s">
        <v>211</v>
      </c>
      <c r="AV1" s="126"/>
      <c r="AW1" s="118" t="s">
        <v>5</v>
      </c>
      <c r="AX1" s="117" t="s">
        <v>212</v>
      </c>
      <c r="AY1" s="126"/>
      <c r="AZ1" s="127" t="s">
        <v>213</v>
      </c>
      <c r="BA1" s="128" t="s">
        <v>214</v>
      </c>
      <c r="BB1" s="127" t="s">
        <v>215</v>
      </c>
      <c r="BC1" s="127" t="s">
        <v>216</v>
      </c>
      <c r="BD1" s="127" t="s">
        <v>217</v>
      </c>
      <c r="BE1" s="128" t="s">
        <v>218</v>
      </c>
      <c r="BF1" s="127" t="s">
        <v>219</v>
      </c>
      <c r="BG1" s="126"/>
      <c r="BH1" s="118" t="s">
        <v>220</v>
      </c>
      <c r="BI1" s="118" t="s">
        <v>221</v>
      </c>
      <c r="BJ1" s="129"/>
      <c r="BK1" s="130" t="s">
        <v>222</v>
      </c>
      <c r="BL1" s="131" t="s">
        <v>223</v>
      </c>
    </row>
    <row r="2" spans="1:64" ht="15.75" customHeight="1" x14ac:dyDescent="0.15">
      <c r="A2" s="132" t="s">
        <v>142</v>
      </c>
      <c r="B2" s="133">
        <f>SUM('Raw Values'!S2+'Raw Values'!T2)</f>
        <v>4.18</v>
      </c>
      <c r="C2" s="133">
        <f>SUM('Raw Values'!S2+'Raw Values'!U2)</f>
        <v>6.2</v>
      </c>
      <c r="D2" s="133">
        <f>SUM('Raw Values'!S2+'Raw Values'!U2+'Raw Values'!W2)</f>
        <v>54.300000000000004</v>
      </c>
      <c r="E2" s="134">
        <f t="shared" ref="E2:E11" si="0">SUM(B2/C2)</f>
        <v>0.67419354838709666</v>
      </c>
      <c r="F2" s="133">
        <f>SUM($B2+'Firing Inaccuracy(Crouching) Ra'!$M2)</f>
        <v>37.542108585873557</v>
      </c>
      <c r="G2" s="133">
        <f>SUM($C2+'Firing Inaccuracy(Standing) Raw'!$M2)</f>
        <v>85.248671354669966</v>
      </c>
      <c r="H2" s="133">
        <f>SUM($D2+'Firing Inaccuracy(Standing) Raw'!$M2)</f>
        <v>133.34867135466996</v>
      </c>
      <c r="I2" s="134">
        <f t="shared" ref="I2:I11" si="1">SUM(F2/G2)</f>
        <v>0.44038350380480129</v>
      </c>
      <c r="J2" s="135"/>
      <c r="K2" s="135"/>
      <c r="L2" s="135"/>
      <c r="M2" s="135">
        <f>SUM(('Raw Values'!$AE2+(('Raw Values'!$AF2-'Raw Values'!$AE2)/7)))</f>
        <v>0.81120000000000003</v>
      </c>
      <c r="N2" s="136">
        <f>SUM(('Raw Values'!$AE2+(2*('Raw Values'!$AF2-'Raw Values'!$AE2)/7)))</f>
        <v>0.81120000000000003</v>
      </c>
      <c r="O2" s="136">
        <f>SUM(('Raw Values'!$AE2+(3*('Raw Values'!$AF2-'Raw Values'!$AE2)/7)))</f>
        <v>0.81120000000000003</v>
      </c>
      <c r="P2" s="136">
        <f>SUM(('Raw Values'!$AE2+(4*('Raw Values'!$AF2-'Raw Values'!$AE2)/7)))</f>
        <v>0.81120000000000003</v>
      </c>
      <c r="Q2" s="136">
        <f>SUM(('Raw Values'!$AE2+(5*('Raw Values'!$AF2-'Raw Values'!$AE2)/7)))</f>
        <v>0.81120000000000003</v>
      </c>
      <c r="R2" s="136">
        <f>SUM(('Raw Values'!$AE2+(6*('Raw Values'!$AF2-'Raw Values'!$AE2)/7)))</f>
        <v>0.81120000000000003</v>
      </c>
      <c r="S2" s="136"/>
      <c r="T2" s="136"/>
      <c r="U2" s="136"/>
      <c r="V2" s="136"/>
      <c r="W2" s="136"/>
      <c r="X2" s="137"/>
      <c r="Y2" s="138"/>
      <c r="Z2" s="138"/>
      <c r="AA2" s="135"/>
      <c r="AB2" s="139">
        <f>SUM(('Raw Values'!$AC2+(('Raw Values'!$AD2-'Raw Values'!$AC2)/7)))</f>
        <v>0.44992700000000002</v>
      </c>
      <c r="AC2" s="139">
        <f>SUM(('Raw Values'!$AC2+(2*('Raw Values'!$AD2-'Raw Values'!$AC2)/7)))</f>
        <v>0.44992700000000002</v>
      </c>
      <c r="AD2" s="139">
        <f>SUM(('Raw Values'!$AC2+(3*('Raw Values'!$AD2-'Raw Values'!$AC2)/7)))</f>
        <v>0.44992700000000002</v>
      </c>
      <c r="AE2" s="139">
        <f>SUM(('Raw Values'!$AC2+(4*('Raw Values'!$AD2-'Raw Values'!$AC2)/7)))</f>
        <v>0.44992700000000002</v>
      </c>
      <c r="AF2" s="139">
        <f>SUM(('Raw Values'!$AC2+(5*('Raw Values'!$AD2-'Raw Values'!$AC2)/7)))</f>
        <v>0.44992700000000002</v>
      </c>
      <c r="AG2" s="140">
        <f>SUM(('Raw Values'!$AC2+(6*('Raw Values'!$AD2-'Raw Values'!$AC2)/7)))</f>
        <v>0.44992700000000002</v>
      </c>
      <c r="AM2" s="141"/>
      <c r="AN2" s="142">
        <f t="shared" ref="AN2:AP2" si="2">SUM(DEGREES(ATAN(B2/1000))*2)</f>
        <v>0.47898992704116572</v>
      </c>
      <c r="AO2" s="142">
        <f t="shared" si="2"/>
        <v>0.71045856271315067</v>
      </c>
      <c r="AP2" s="142">
        <f t="shared" si="2"/>
        <v>6.2162169668620821</v>
      </c>
      <c r="AQ2" s="141"/>
      <c r="AR2" s="133">
        <f t="shared" ref="AR2:AT2" si="3">SUM((PI())*B2^2)</f>
        <v>54.891163480582293</v>
      </c>
      <c r="AS2" s="133">
        <f t="shared" si="3"/>
        <v>120.76282160399167</v>
      </c>
      <c r="AT2" s="133">
        <f t="shared" si="3"/>
        <v>9262.9545231829707</v>
      </c>
      <c r="AU2" s="134">
        <f t="shared" ref="AU2:AU11" si="4">SUM(AR2/AS2)</f>
        <v>0.45453694068678446</v>
      </c>
      <c r="AV2" s="141"/>
      <c r="AW2" s="134">
        <f>SUM('Raw Values'!B2/2)</f>
        <v>0.93200000000000005</v>
      </c>
      <c r="AX2" s="133">
        <f>SUM((1-AW2)*'Raw Values'!C2 * 0.5)</f>
        <v>1.8019999999999987</v>
      </c>
      <c r="AY2" s="141"/>
      <c r="AZ2" s="143">
        <v>52</v>
      </c>
      <c r="BA2" s="144">
        <v>205</v>
      </c>
      <c r="BB2" s="143">
        <v>65</v>
      </c>
      <c r="BC2" s="143">
        <v>39</v>
      </c>
      <c r="BD2" s="143">
        <v>49</v>
      </c>
      <c r="BE2" s="144">
        <v>191</v>
      </c>
      <c r="BF2" s="143">
        <v>61</v>
      </c>
      <c r="BG2" s="141"/>
      <c r="BH2" s="145">
        <f>SUM(AZ2*(1/'Raw Values'!$F2))</f>
        <v>231.11111111111111</v>
      </c>
      <c r="BI2" s="145">
        <f t="shared" ref="BI2:BI11" si="5">SUM(BH2*AW2)</f>
        <v>215.39555555555557</v>
      </c>
      <c r="BJ2" s="129"/>
      <c r="BK2" s="146">
        <f>SUM(AZ2*'Raw Values'!J2)</f>
        <v>364</v>
      </c>
      <c r="BL2" s="147">
        <f t="shared" ref="BL2:BL11" si="6">SUM(BK2*AW2)</f>
        <v>339.24799999999999</v>
      </c>
    </row>
    <row r="3" spans="1:64" ht="15.75" customHeight="1" x14ac:dyDescent="0.15">
      <c r="A3" s="132" t="s">
        <v>144</v>
      </c>
      <c r="B3" s="133">
        <f>SUM('Raw Values'!S3+'Raw Values'!T3)</f>
        <v>1.52</v>
      </c>
      <c r="C3" s="133">
        <f>SUM('Raw Values'!S3+'Raw Values'!U3)</f>
        <v>2.52</v>
      </c>
      <c r="D3" s="133">
        <f>SUM('Raw Values'!S3+'Raw Values'!U3+'Raw Values'!W3)</f>
        <v>9.02</v>
      </c>
      <c r="E3" s="134">
        <f t="shared" si="0"/>
        <v>0.60317460317460314</v>
      </c>
      <c r="F3" s="133">
        <f>SUM($B3+'Firing Inaccuracy(Crouching) Ra'!$M4)</f>
        <v>14.486677522219308</v>
      </c>
      <c r="G3" s="133">
        <f>SUM($C3+'Firing Inaccuracy(Standing) Raw'!$M4)</f>
        <v>18.641390751730505</v>
      </c>
      <c r="H3" s="133">
        <f>SUM($D3+'Firing Inaccuracy(Standing) Raw'!$M3)</f>
        <v>39.808037708081542</v>
      </c>
      <c r="I3" s="134">
        <f t="shared" si="1"/>
        <v>0.7771242883728775</v>
      </c>
      <c r="J3" s="135"/>
      <c r="K3" s="135"/>
      <c r="L3" s="135"/>
      <c r="M3" s="135">
        <f>SUM(('Raw Values'!$AE3+(('Raw Values'!$AF3-'Raw Values'!$AE3)/7)))</f>
        <v>0.9</v>
      </c>
      <c r="N3" s="136">
        <f>SUM(('Raw Values'!$AE3+(2*('Raw Values'!$AF3-'Raw Values'!$AE3)/7)))</f>
        <v>0.9</v>
      </c>
      <c r="O3" s="136">
        <f>SUM(('Raw Values'!$AE3+(3*('Raw Values'!$AF3-'Raw Values'!$AE3)/7)))</f>
        <v>0.9</v>
      </c>
      <c r="P3" s="136">
        <f>SUM(('Raw Values'!$AE3+(4*('Raw Values'!$AF3-'Raw Values'!$AE3)/7)))</f>
        <v>0.9</v>
      </c>
      <c r="Q3" s="136">
        <f>SUM(('Raw Values'!$AE3+(5*('Raw Values'!$AF3-'Raw Values'!$AE3)/7)))</f>
        <v>0.9</v>
      </c>
      <c r="R3" s="136">
        <f>SUM(('Raw Values'!$AE3+(6*('Raw Values'!$AF3-'Raw Values'!$AE3)/7)))</f>
        <v>0.9</v>
      </c>
      <c r="S3" s="136"/>
      <c r="T3" s="136"/>
      <c r="U3" s="136"/>
      <c r="V3" s="136"/>
      <c r="W3" s="136"/>
      <c r="X3" s="148"/>
      <c r="Y3" s="138"/>
      <c r="Z3" s="138"/>
      <c r="AA3" s="135"/>
      <c r="AB3" s="139">
        <f>SUM(('Raw Values'!$AC3+(('Raw Values'!$AD3-'Raw Values'!$AC3)/7)))</f>
        <v>0.7</v>
      </c>
      <c r="AC3" s="139">
        <f>SUM(('Raw Values'!$AC3+(2*('Raw Values'!$AD3-'Raw Values'!$AC3)/7)))</f>
        <v>0.7</v>
      </c>
      <c r="AD3" s="139">
        <f>SUM(('Raw Values'!$AC3+(3*('Raw Values'!$AD3-'Raw Values'!$AC3)/7)))</f>
        <v>0.7</v>
      </c>
      <c r="AE3" s="139">
        <f>SUM(('Raw Values'!$AC3+(4*('Raw Values'!$AD3-'Raw Values'!$AC3)/7)))</f>
        <v>0.7</v>
      </c>
      <c r="AF3" s="139">
        <f>SUM(('Raw Values'!$AC3+(5*('Raw Values'!$AD3-'Raw Values'!$AC3)/7)))</f>
        <v>0.7</v>
      </c>
      <c r="AG3" s="140">
        <f>SUM(('Raw Values'!$AC3+(6*('Raw Values'!$AD3-'Raw Values'!$AC3)/7)))</f>
        <v>0.7</v>
      </c>
      <c r="AM3" s="141"/>
      <c r="AN3" s="142">
        <f t="shared" ref="AN3:AP3" si="7">SUM(DEGREES(ATAN(B3/1000))*2)</f>
        <v>0.17417903557877165</v>
      </c>
      <c r="AO3" s="142">
        <f t="shared" si="7"/>
        <v>0.28877011747838538</v>
      </c>
      <c r="AP3" s="142">
        <f t="shared" si="7"/>
        <v>1.0335878319843286</v>
      </c>
      <c r="AQ3" s="141"/>
      <c r="AR3" s="133">
        <f t="shared" ref="AR3:AT3" si="8">SUM((PI())*B3^2)</f>
        <v>7.2583356668538581</v>
      </c>
      <c r="AS3" s="133">
        <f t="shared" si="8"/>
        <v>19.950369987356623</v>
      </c>
      <c r="AT3" s="133">
        <f t="shared" si="8"/>
        <v>255.60123493312699</v>
      </c>
      <c r="AU3" s="134">
        <f t="shared" si="4"/>
        <v>0.36381960191483997</v>
      </c>
      <c r="AV3" s="141"/>
      <c r="AW3" s="134">
        <f>SUM('Raw Values'!B3/2)</f>
        <v>0.93200000000000005</v>
      </c>
      <c r="AX3" s="133">
        <f>SUM((1-AW3)*'Raw Values'!C3 * 0.5)</f>
        <v>2.9239999999999977</v>
      </c>
      <c r="AY3" s="141"/>
      <c r="AZ3" s="143">
        <v>85</v>
      </c>
      <c r="BA3" s="144">
        <v>343</v>
      </c>
      <c r="BB3" s="143">
        <v>107</v>
      </c>
      <c r="BC3" s="143">
        <v>64</v>
      </c>
      <c r="BD3" s="143">
        <v>79</v>
      </c>
      <c r="BE3" s="144">
        <v>319</v>
      </c>
      <c r="BF3" s="143">
        <v>99</v>
      </c>
      <c r="BG3" s="141"/>
      <c r="BH3" s="145">
        <f>SUM(AZ3*(1/'Raw Values'!$F3))</f>
        <v>170</v>
      </c>
      <c r="BI3" s="145">
        <f t="shared" si="5"/>
        <v>158.44</v>
      </c>
      <c r="BJ3" s="129"/>
      <c r="BK3" s="146">
        <f>SUM(AZ3*'Raw Values'!J3)</f>
        <v>680</v>
      </c>
      <c r="BL3" s="147">
        <f t="shared" si="6"/>
        <v>633.76</v>
      </c>
    </row>
    <row r="4" spans="1:64" ht="15.75" customHeight="1" x14ac:dyDescent="0.15">
      <c r="A4" s="132" t="s">
        <v>145</v>
      </c>
      <c r="B4" s="133">
        <f>SUM('Raw Values'!S4+'Raw Values'!T4)</f>
        <v>7.25</v>
      </c>
      <c r="C4" s="133">
        <f>SUM('Raw Values'!S4+'Raw Values'!U4)</f>
        <v>9</v>
      </c>
      <c r="D4" s="133">
        <f>SUM('Raw Values'!S4+'Raw Values'!U4+'Raw Values'!W4)</f>
        <v>26.85</v>
      </c>
      <c r="E4" s="134">
        <f t="shared" si="0"/>
        <v>0.80555555555555558</v>
      </c>
      <c r="F4" s="133">
        <f>SUM($B4+'Firing Inaccuracy(Crouching) Ra'!$AJ4)</f>
        <v>20.238879565793123</v>
      </c>
      <c r="G4" s="133">
        <f>SUM($C4+'Firing Inaccuracy(Standing) Raw'!$AJ4)</f>
        <v>25.540121118581137</v>
      </c>
      <c r="H4" s="133">
        <f>SUM($D4+'Firing Inaccuracy(Standing) Raw'!$M4)</f>
        <v>42.97139075173051</v>
      </c>
      <c r="I4" s="134">
        <f t="shared" si="1"/>
        <v>0.79243475282772968</v>
      </c>
      <c r="J4" s="135"/>
      <c r="K4" s="135"/>
      <c r="L4" s="135"/>
      <c r="M4" s="135">
        <f>SUM(('Raw Values'!$AE4+(('Raw Values'!$AF4-'Raw Values'!$AE4)/7)))</f>
        <v>0.52498900000000004</v>
      </c>
      <c r="N4" s="136">
        <f>SUM(('Raw Values'!$AE4+(2*('Raw Values'!$AF4-'Raw Values'!$AE4)/7)))</f>
        <v>0.52498900000000004</v>
      </c>
      <c r="O4" s="136">
        <f>SUM(('Raw Values'!$AE4+(3*('Raw Values'!$AF4-'Raw Values'!$AE4)/7)))</f>
        <v>0.52498900000000004</v>
      </c>
      <c r="P4" s="136">
        <f>SUM(('Raw Values'!$AE4+(4*('Raw Values'!$AF4-'Raw Values'!$AE4)/7)))</f>
        <v>0.52498900000000004</v>
      </c>
      <c r="Q4" s="136">
        <f>SUM(('Raw Values'!$AE4+(5*('Raw Values'!$AF4-'Raw Values'!$AE4)/7)))</f>
        <v>0.52498900000000004</v>
      </c>
      <c r="R4" s="136">
        <f>SUM(('Raw Values'!$AE4+(6*('Raw Values'!$AF4-'Raw Values'!$AE4)/7)))</f>
        <v>0.52498900000000004</v>
      </c>
      <c r="S4" s="136"/>
      <c r="T4" s="136"/>
      <c r="U4" s="136"/>
      <c r="V4" s="136"/>
      <c r="W4" s="136"/>
      <c r="X4" s="148"/>
      <c r="Y4" s="138"/>
      <c r="Z4" s="138"/>
      <c r="AA4" s="135"/>
      <c r="AB4" s="139">
        <f>SUM(('Raw Values'!$AC4+(('Raw Values'!$AD4-'Raw Values'!$AC4)/7)))</f>
        <v>0.43749100000000002</v>
      </c>
      <c r="AC4" s="139">
        <f>SUM(('Raw Values'!$AC4+(2*('Raw Values'!$AD4-'Raw Values'!$AC4)/7)))</f>
        <v>0.43749100000000002</v>
      </c>
      <c r="AD4" s="139">
        <f>SUM(('Raw Values'!$AC4+(3*('Raw Values'!$AD4-'Raw Values'!$AC4)/7)))</f>
        <v>0.43749100000000002</v>
      </c>
      <c r="AE4" s="139">
        <f>SUM(('Raw Values'!$AC4+(4*('Raw Values'!$AD4-'Raw Values'!$AC4)/7)))</f>
        <v>0.43749100000000002</v>
      </c>
      <c r="AF4" s="139">
        <f>SUM(('Raw Values'!$AC4+(5*('Raw Values'!$AD4-'Raw Values'!$AC4)/7)))</f>
        <v>0.43749100000000002</v>
      </c>
      <c r="AG4" s="140">
        <f>SUM(('Raw Values'!$AC4+(6*('Raw Values'!$AD4-'Raw Values'!$AC4)/7)))</f>
        <v>0.43749100000000002</v>
      </c>
      <c r="AH4" s="149"/>
      <c r="AI4" s="149"/>
      <c r="AJ4" s="149"/>
      <c r="AK4" s="149"/>
      <c r="AL4" s="149"/>
      <c r="AM4" s="150"/>
      <c r="AN4" s="142">
        <f t="shared" ref="AN4:AP4" si="9">SUM(DEGREES(ATAN(B4/1000))*2)</f>
        <v>0.83077424728658833</v>
      </c>
      <c r="AO4" s="142">
        <f t="shared" si="9"/>
        <v>1.0312961868398636</v>
      </c>
      <c r="AP4" s="142">
        <f t="shared" si="9"/>
        <v>3.076044305389539</v>
      </c>
      <c r="AQ4" s="141"/>
      <c r="AR4" s="133">
        <f t="shared" ref="AR4:AT4" si="10">SUM((PI())*B4^2)</f>
        <v>165.1299638543135</v>
      </c>
      <c r="AS4" s="133">
        <f t="shared" si="10"/>
        <v>254.46900494077323</v>
      </c>
      <c r="AT4" s="133">
        <f t="shared" si="10"/>
        <v>2264.8448298075882</v>
      </c>
      <c r="AU4" s="134">
        <f t="shared" si="4"/>
        <v>0.6489197530864198</v>
      </c>
      <c r="AV4" s="141"/>
      <c r="AW4" s="134">
        <f>SUM('Raw Values'!B4/2)</f>
        <v>0.57499999999999996</v>
      </c>
      <c r="AX4" s="133">
        <f>SUM((1-AW4)*'Raw Values'!C4 * 0.5)</f>
        <v>8.0750000000000011</v>
      </c>
      <c r="AY4" s="141"/>
      <c r="AZ4" s="143">
        <v>37</v>
      </c>
      <c r="BA4" s="144">
        <v>150</v>
      </c>
      <c r="BB4" s="143">
        <v>47</v>
      </c>
      <c r="BC4" s="143">
        <v>28</v>
      </c>
      <c r="BD4" s="143">
        <v>21</v>
      </c>
      <c r="BE4" s="144">
        <v>86</v>
      </c>
      <c r="BF4" s="143">
        <v>27</v>
      </c>
      <c r="BG4" s="141"/>
      <c r="BH4" s="145">
        <f>SUM(AZ4*(1/'Raw Values'!$F4))</f>
        <v>308.33333333333337</v>
      </c>
      <c r="BI4" s="145">
        <f t="shared" si="5"/>
        <v>177.29166666666669</v>
      </c>
      <c r="BJ4" s="129"/>
      <c r="BK4" s="146">
        <f>SUM(AZ4*'Raw Values'!J4)</f>
        <v>1110</v>
      </c>
      <c r="BL4" s="147">
        <f t="shared" si="6"/>
        <v>638.25</v>
      </c>
    </row>
    <row r="5" spans="1:64" ht="15.75" customHeight="1" x14ac:dyDescent="0.15">
      <c r="A5" s="151" t="s">
        <v>146</v>
      </c>
      <c r="B5" s="133">
        <f>SUM('Raw Values'!S5+'Raw Values'!T5)</f>
        <v>8.83</v>
      </c>
      <c r="C5" s="133">
        <f>SUM('Raw Values'!S5+'Raw Values'!U5)</f>
        <v>11.1</v>
      </c>
      <c r="D5" s="133">
        <f>SUM('Raw Values'!S5+'Raw Values'!U5+'Raw Values'!W5)</f>
        <v>51.1</v>
      </c>
      <c r="E5" s="134">
        <f t="shared" si="0"/>
        <v>0.79549549549549547</v>
      </c>
      <c r="F5" s="133">
        <f>SUM($B5+'Firing Inaccuracy(Crouching) Ra'!$Z5)</f>
        <v>33.948779979156377</v>
      </c>
      <c r="G5" s="133">
        <f>SUM($C5+'Firing Inaccuracy(Standing) Raw'!$Z5)</f>
        <v>36.21877997915638</v>
      </c>
      <c r="H5" s="133">
        <f>SUM($D5+'Firing Inaccuracy(Standing) Raw'!$M5)</f>
        <v>74.424147620051116</v>
      </c>
      <c r="I5" s="134">
        <f t="shared" si="1"/>
        <v>0.9373253322915247</v>
      </c>
      <c r="J5" s="138">
        <f>SUM(('Raw Values'!$AE5+(1*('Raw Values'!$AF5-'Raw Values'!$AE5)/5)))</f>
        <v>0.26</v>
      </c>
      <c r="K5" s="152">
        <f>SUM(('Raw Values'!$AE5+(2*('Raw Values'!$AF5-'Raw Values'!$AE5)/5)))</f>
        <v>0.32</v>
      </c>
      <c r="L5" s="152">
        <f>SUM(('Raw Values'!$AE5+(3*('Raw Values'!$AF5-'Raw Values'!$AE5)/5)))</f>
        <v>0.38</v>
      </c>
      <c r="M5" s="152">
        <f>SUM(('Raw Values'!$AE5+(4*('Raw Values'!$AF5-'Raw Values'!$AE5)/5)))</f>
        <v>0.44</v>
      </c>
      <c r="N5" s="152"/>
      <c r="O5" s="136"/>
      <c r="P5" s="136"/>
      <c r="Q5" s="136"/>
      <c r="R5" s="136"/>
      <c r="S5" s="136"/>
      <c r="T5" s="136"/>
      <c r="U5" s="136"/>
      <c r="V5" s="136"/>
      <c r="W5" s="136"/>
      <c r="X5" s="148"/>
      <c r="Y5" s="138">
        <f>SUM(('Raw Values'!$AC5+(1*('Raw Values'!$AD5-'Raw Values'!$AC5)/5)))</f>
        <v>0.26</v>
      </c>
      <c r="Z5" s="152">
        <f>SUM(('Raw Values'!$AC5+(2*('Raw Values'!$AD5-'Raw Values'!$AC5)/5)))</f>
        <v>0.32</v>
      </c>
      <c r="AA5" s="152">
        <f>SUM(('Raw Values'!$AC5+(3*('Raw Values'!$AD5-'Raw Values'!$AC5)/5)))</f>
        <v>0.38</v>
      </c>
      <c r="AB5" s="152">
        <f>SUM(('Raw Values'!$AC5+(4*('Raw Values'!$AD5-'Raw Values'!$AC5)/5)))</f>
        <v>0.44</v>
      </c>
      <c r="AC5" s="152"/>
      <c r="AD5" s="139"/>
      <c r="AE5" s="139"/>
      <c r="AF5" s="139"/>
      <c r="AG5" s="140"/>
      <c r="AH5" s="149"/>
      <c r="AI5" s="149"/>
      <c r="AJ5" s="149"/>
      <c r="AK5" s="149"/>
      <c r="AL5" s="149"/>
      <c r="AM5" s="150"/>
      <c r="AN5" s="142">
        <f t="shared" ref="AN5:AP5" si="11">SUM(DEGREES(ATAN(B5/1000))*2)</f>
        <v>1.0118171699905174</v>
      </c>
      <c r="AO5" s="142">
        <f t="shared" si="11"/>
        <v>1.2719140693958024</v>
      </c>
      <c r="AP5" s="142">
        <f t="shared" si="11"/>
        <v>5.8505398778880879</v>
      </c>
      <c r="AQ5" s="141"/>
      <c r="AR5" s="133">
        <f t="shared" ref="AR5:AT5" si="12">SUM((PI())*B5^2)</f>
        <v>244.94652344847722</v>
      </c>
      <c r="AS5" s="133">
        <f t="shared" si="12"/>
        <v>387.07563084879837</v>
      </c>
      <c r="AT5" s="133">
        <f t="shared" si="12"/>
        <v>8203.3581529802032</v>
      </c>
      <c r="AU5" s="134">
        <f t="shared" si="4"/>
        <v>0.63281308335362396</v>
      </c>
      <c r="AV5" s="141"/>
      <c r="AW5" s="134">
        <f>SUM('Raw Values'!B5/2)</f>
        <v>0.91149999999999998</v>
      </c>
      <c r="AX5" s="133">
        <f>SUM((1-AW5)*'Raw Values'!C5 * 0.5)</f>
        <v>1.4160000000000004</v>
      </c>
      <c r="AY5" s="141"/>
      <c r="AZ5" s="143">
        <v>31</v>
      </c>
      <c r="BA5" s="144">
        <v>127</v>
      </c>
      <c r="BB5" s="143">
        <v>39</v>
      </c>
      <c r="BC5" s="143">
        <v>23</v>
      </c>
      <c r="BD5" s="143">
        <v>28</v>
      </c>
      <c r="BE5" s="144">
        <v>115</v>
      </c>
      <c r="BF5" s="143">
        <v>36</v>
      </c>
      <c r="BG5" s="141"/>
      <c r="BH5" s="145">
        <f>SUM(AZ5*(1/'Raw Values'!$F5))</f>
        <v>206.66666666666669</v>
      </c>
      <c r="BI5" s="145">
        <f t="shared" si="5"/>
        <v>188.37666666666667</v>
      </c>
      <c r="BJ5" s="129"/>
      <c r="BK5" s="146">
        <f>SUM(AZ5*'Raw Values'!J5)</f>
        <v>620</v>
      </c>
      <c r="BL5" s="147">
        <f t="shared" si="6"/>
        <v>565.13</v>
      </c>
    </row>
    <row r="6" spans="1:64" ht="15.75" customHeight="1" x14ac:dyDescent="0.15">
      <c r="A6" s="153" t="s">
        <v>147</v>
      </c>
      <c r="B6" s="133">
        <f>SUM('Raw Values'!S6+'Raw Values'!T6)</f>
        <v>6.2</v>
      </c>
      <c r="C6" s="133">
        <f>SUM('Raw Values'!S6+'Raw Values'!U6)</f>
        <v>7.6</v>
      </c>
      <c r="D6" s="133">
        <f>SUM('Raw Values'!S6+'Raw Values'!U6+'Raw Values'!W6)</f>
        <v>17.600000000000001</v>
      </c>
      <c r="E6" s="134">
        <f t="shared" si="0"/>
        <v>0.81578947368421062</v>
      </c>
      <c r="F6" s="133">
        <f>SUM($B6+'Firing Inaccuracy(Crouching) Ra'!$Z6)</f>
        <v>36.502441312678179</v>
      </c>
      <c r="G6" s="133">
        <f>SUM($C6+'Firing Inaccuracy(Standing) Raw'!$Z6)</f>
        <v>37.902441312678178</v>
      </c>
      <c r="H6" s="133">
        <f>SUM($D6+'Firing Inaccuracy(Standing) Raw'!$M6)</f>
        <v>47.220807067819742</v>
      </c>
      <c r="I6" s="134">
        <f t="shared" si="1"/>
        <v>0.96306306529306052</v>
      </c>
      <c r="J6" s="135">
        <f>SUM(('Raw Values'!$AE6+(1*('Raw Values'!$AF6-'Raw Values'!$AE6)/5)))</f>
        <v>0.22600000000000001</v>
      </c>
      <c r="K6" s="136">
        <f>SUM(('Raw Values'!$AE6+(2*('Raw Values'!$AF6-'Raw Values'!$AE6)/5)))</f>
        <v>0.252</v>
      </c>
      <c r="L6" s="136">
        <f>SUM(('Raw Values'!$AE6+(3*('Raw Values'!$AF6-'Raw Values'!$AE6)/5)))</f>
        <v>0.27800000000000002</v>
      </c>
      <c r="M6" s="136">
        <f>SUM(('Raw Values'!$AE6+(4*('Raw Values'!$AF6-'Raw Values'!$AE6)/5)))</f>
        <v>0.30400000000000005</v>
      </c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48"/>
      <c r="Y6" s="135">
        <f>SUM(('Raw Values'!$AC6+(1*('Raw Values'!$AD6-'Raw Values'!$AC6)/5)))</f>
        <v>0.22600000000000001</v>
      </c>
      <c r="Z6" s="136">
        <f>SUM(('Raw Values'!$AC6+(2*('Raw Values'!$AD6-'Raw Values'!$AC6)/5)))</f>
        <v>0.252</v>
      </c>
      <c r="AA6" s="136">
        <f>SUM(('Raw Values'!$AC6+(3*('Raw Values'!$AD6-'Raw Values'!$AC6)/5)))</f>
        <v>0.27800000000000002</v>
      </c>
      <c r="AB6" s="136">
        <f>SUM(('Raw Values'!$AC6+(4*('Raw Values'!$AD6-'Raw Values'!$AC6)/5)))</f>
        <v>0.30400000000000005</v>
      </c>
      <c r="AC6" s="136"/>
      <c r="AD6" s="139"/>
      <c r="AE6" s="139"/>
      <c r="AF6" s="139"/>
      <c r="AG6" s="140"/>
      <c r="AH6" s="149"/>
      <c r="AI6" s="149"/>
      <c r="AJ6" s="149"/>
      <c r="AK6" s="149"/>
      <c r="AL6" s="149"/>
      <c r="AM6" s="150"/>
      <c r="AN6" s="142">
        <f t="shared" ref="AN6:AP6" si="13">SUM(DEGREES(ATAN(B6/1000))*2)</f>
        <v>0.71045856271315067</v>
      </c>
      <c r="AO6" s="142">
        <f t="shared" si="13"/>
        <v>0.87087908153185523</v>
      </c>
      <c r="AP6" s="142">
        <f t="shared" si="13"/>
        <v>2.0166032350512881</v>
      </c>
      <c r="AQ6" s="141"/>
      <c r="AR6" s="133">
        <f t="shared" ref="AR6:AT6" si="14">SUM((PI())*B6^2)</f>
        <v>120.76282160399167</v>
      </c>
      <c r="AS6" s="133">
        <f t="shared" si="14"/>
        <v>181.45839167134645</v>
      </c>
      <c r="AT6" s="133">
        <f t="shared" si="14"/>
        <v>973.1397403759745</v>
      </c>
      <c r="AU6" s="134">
        <f t="shared" si="4"/>
        <v>0.66551246537396136</v>
      </c>
      <c r="AV6" s="141"/>
      <c r="AW6" s="134">
        <f>SUM('Raw Values'!B6/2)</f>
        <v>0.47</v>
      </c>
      <c r="AX6" s="133">
        <f>SUM((1-AW6)*'Raw Values'!C6 * 0.5)</f>
        <v>7.95</v>
      </c>
      <c r="AY6" s="141"/>
      <c r="AZ6" s="143">
        <v>29</v>
      </c>
      <c r="BA6" s="144">
        <v>119</v>
      </c>
      <c r="BB6" s="143">
        <v>37</v>
      </c>
      <c r="BC6" s="143">
        <v>22</v>
      </c>
      <c r="BD6" s="143">
        <v>14</v>
      </c>
      <c r="BE6" s="144">
        <v>56</v>
      </c>
      <c r="BF6" s="143">
        <v>17</v>
      </c>
      <c r="BG6" s="141"/>
      <c r="BH6" s="145">
        <f>SUM(AZ6*(1/'Raw Values'!$F6))</f>
        <v>193.33333333333334</v>
      </c>
      <c r="BI6" s="145">
        <f t="shared" si="5"/>
        <v>90.86666666666666</v>
      </c>
      <c r="BJ6" s="129"/>
      <c r="BK6" s="146">
        <f>SUM(AZ6*'Raw Values'!J6)</f>
        <v>580</v>
      </c>
      <c r="BL6" s="147">
        <f t="shared" si="6"/>
        <v>272.59999999999997</v>
      </c>
    </row>
    <row r="7" spans="1:64" ht="15.75" customHeight="1" x14ac:dyDescent="0.15">
      <c r="A7" s="151" t="s">
        <v>148</v>
      </c>
      <c r="B7" s="133">
        <f>SUM('Raw Values'!S7+'Raw Values'!T7)</f>
        <v>5.68</v>
      </c>
      <c r="C7" s="133">
        <f>SUM('Raw Values'!S7+'Raw Values'!U7)</f>
        <v>6.9</v>
      </c>
      <c r="D7" s="133">
        <f>SUM('Raw Values'!S7+'Raw Values'!U7+'Raw Values'!W7)</f>
        <v>19.899999999999999</v>
      </c>
      <c r="E7" s="134">
        <f t="shared" si="0"/>
        <v>0.8231884057971014</v>
      </c>
      <c r="F7" s="133">
        <f>SUM($B7+'Firing Inaccuracy(Crouching) Ra'!$S7)</f>
        <v>23.323742675479043</v>
      </c>
      <c r="G7" s="133">
        <f>SUM($C7+'Firing Inaccuracy(Standing) Raw'!$S7)</f>
        <v>31.118490106715846</v>
      </c>
      <c r="H7" s="133">
        <f>SUM($D7+'Firing Inaccuracy(Standing) Raw'!$M7)</f>
        <v>44.089286579318681</v>
      </c>
      <c r="I7" s="134">
        <f t="shared" si="1"/>
        <v>0.74951395763399919</v>
      </c>
      <c r="J7" s="135"/>
      <c r="K7" s="135"/>
      <c r="L7" s="135"/>
      <c r="M7" s="135">
        <f>SUM(('Raw Values'!$AE7+(('Raw Values'!$AF7-'Raw Values'!$AE7)/7)))</f>
        <v>0.34953200000000001</v>
      </c>
      <c r="N7" s="136">
        <f>SUM(('Raw Values'!$AE7+(2*('Raw Values'!$AF7-'Raw Values'!$AE7)/7)))</f>
        <v>0.34953200000000001</v>
      </c>
      <c r="O7" s="136">
        <f>SUM(('Raw Values'!$AE7+(3*('Raw Values'!$AF7-'Raw Values'!$AE7)/7)))</f>
        <v>0.34953200000000001</v>
      </c>
      <c r="P7" s="136">
        <f>SUM(('Raw Values'!$AE7+(4*('Raw Values'!$AF7-'Raw Values'!$AE7)/7)))</f>
        <v>0.34953200000000001</v>
      </c>
      <c r="Q7" s="136">
        <f>SUM(('Raw Values'!$AE7+(5*('Raw Values'!$AF7-'Raw Values'!$AE7)/7)))</f>
        <v>0.34953200000000001</v>
      </c>
      <c r="R7" s="136">
        <f>SUM(('Raw Values'!$AE7+(6*('Raw Values'!$AF7-'Raw Values'!$AE7)/7)))</f>
        <v>0.34953200000000001</v>
      </c>
      <c r="S7" s="136"/>
      <c r="T7" s="136"/>
      <c r="U7" s="136"/>
      <c r="V7" s="136"/>
      <c r="W7" s="136"/>
      <c r="X7" s="123"/>
      <c r="Y7" s="138"/>
      <c r="Z7" s="138"/>
      <c r="AA7" s="135"/>
      <c r="AB7" s="139">
        <f>SUM(('Raw Values'!$AC7+(('Raw Values'!$AD7-'Raw Values'!$AC7)/7)))</f>
        <v>0.29127700000000001</v>
      </c>
      <c r="AC7" s="139">
        <f>SUM(('Raw Values'!$AC7+(2*('Raw Values'!$AD7-'Raw Values'!$AC7)/7)))</f>
        <v>0.29127700000000001</v>
      </c>
      <c r="AD7" s="139">
        <f>SUM(('Raw Values'!$AC7+(3*('Raw Values'!$AD7-'Raw Values'!$AC7)/7)))</f>
        <v>0.29127700000000001</v>
      </c>
      <c r="AE7" s="139">
        <f>SUM(('Raw Values'!$AC7+(4*('Raw Values'!$AD7-'Raw Values'!$AC7)/7)))</f>
        <v>0.29127700000000001</v>
      </c>
      <c r="AF7" s="139">
        <f>SUM(('Raw Values'!$AC7+(5*('Raw Values'!$AD7-'Raw Values'!$AC7)/7)))</f>
        <v>0.29127700000000001</v>
      </c>
      <c r="AG7" s="140">
        <f>SUM(('Raw Values'!$AC7+(6*('Raw Values'!$AD7-'Raw Values'!$AC7)/7)))</f>
        <v>0.29127700000000001</v>
      </c>
      <c r="AH7" s="149"/>
      <c r="AI7" s="149"/>
      <c r="AJ7" s="149"/>
      <c r="AK7" s="149"/>
      <c r="AL7" s="149"/>
      <c r="AM7" s="150"/>
      <c r="AN7" s="142">
        <f t="shared" ref="AN7:AP7" si="15">SUM(DEGREES(ATAN(B7/1000))*2)</f>
        <v>0.65087305575320897</v>
      </c>
      <c r="AO7" s="142">
        <f t="shared" si="15"/>
        <v>0.79066920951948549</v>
      </c>
      <c r="AP7" s="142">
        <f t="shared" si="15"/>
        <v>2.2800710794153374</v>
      </c>
      <c r="AQ7" s="141"/>
      <c r="AR7" s="133">
        <f t="shared" ref="AR7:AT7" si="16">SUM((PI())*B7^2)</f>
        <v>101.35531882717534</v>
      </c>
      <c r="AS7" s="133">
        <f t="shared" si="16"/>
        <v>149.57122623741006</v>
      </c>
      <c r="AT7" s="133">
        <f t="shared" si="16"/>
        <v>1244.1021067480938</v>
      </c>
      <c r="AU7" s="134">
        <f t="shared" si="4"/>
        <v>0.67763915143877329</v>
      </c>
      <c r="AV7" s="141"/>
      <c r="AW7" s="134">
        <f>SUM('Raw Values'!B7/2)</f>
        <v>0.505</v>
      </c>
      <c r="AX7" s="133">
        <f>SUM((1-AW7)*'Raw Values'!C7 * 0.5)</f>
        <v>8.6624999999999996</v>
      </c>
      <c r="AY7" s="141"/>
      <c r="AZ7" s="143">
        <v>34</v>
      </c>
      <c r="BA7" s="144">
        <v>139</v>
      </c>
      <c r="BB7" s="143">
        <v>43</v>
      </c>
      <c r="BC7" s="143">
        <v>26</v>
      </c>
      <c r="BD7" s="143">
        <v>17</v>
      </c>
      <c r="BE7" s="144">
        <v>70</v>
      </c>
      <c r="BF7" s="143">
        <v>22</v>
      </c>
      <c r="BG7" s="141"/>
      <c r="BH7" s="145">
        <f>SUM(AZ7*(1/'Raw Values'!$F7))</f>
        <v>199.99999999999997</v>
      </c>
      <c r="BI7" s="145">
        <f t="shared" si="5"/>
        <v>100.99999999999999</v>
      </c>
      <c r="BJ7" s="129"/>
      <c r="BK7" s="146">
        <f>SUM(AZ7*'Raw Values'!J7)</f>
        <v>442</v>
      </c>
      <c r="BL7" s="147">
        <f t="shared" si="6"/>
        <v>223.21</v>
      </c>
    </row>
    <row r="8" spans="1:64" ht="15.75" customHeight="1" x14ac:dyDescent="0.15">
      <c r="A8" s="151" t="s">
        <v>149</v>
      </c>
      <c r="B8" s="133">
        <f>SUM('Raw Values'!AJ8+'Raw Values'!AK8)</f>
        <v>5.18</v>
      </c>
      <c r="C8" s="133">
        <f>SUM('Raw Values'!AJ8+'Raw Values'!AL8)</f>
        <v>6.4</v>
      </c>
      <c r="D8" s="133">
        <f>SUM('Raw Values'!AJ8+'Raw Values'!AL8+'Raw Values'!AN8)</f>
        <v>20.27</v>
      </c>
      <c r="E8" s="134">
        <f t="shared" si="0"/>
        <v>0.80937499999999996</v>
      </c>
      <c r="F8" s="133">
        <f>SUM($B8+'Firing Inaccuracy(Crouching) Ra'!$R8)</f>
        <v>23.52948722593004</v>
      </c>
      <c r="G8" s="133">
        <f>SUM($C8+'Firing Inaccuracy(Standing) Raw'!$R8)</f>
        <v>31.587153918202659</v>
      </c>
      <c r="H8" s="133">
        <f>SUM($D8+'Firing Inaccuracy(Standing) Raw'!$M8)</f>
        <v>45.426858042491432</v>
      </c>
      <c r="I8" s="134">
        <f t="shared" si="1"/>
        <v>0.7449068468422777</v>
      </c>
      <c r="J8" s="135"/>
      <c r="K8" s="135"/>
      <c r="L8" s="135"/>
      <c r="M8" s="135">
        <f>SUM(('Raw Values'!$AE8+(('Raw Values'!$AF8-'Raw Values'!$AE8)/7)))</f>
        <v>0.34953200000000001</v>
      </c>
      <c r="N8" s="136">
        <f>SUM(('Raw Values'!$AE8+(2*('Raw Values'!$AF8-'Raw Values'!$AE8)/7)))</f>
        <v>0.34953200000000001</v>
      </c>
      <c r="O8" s="136">
        <f>SUM(('Raw Values'!$AE8+(3*('Raw Values'!$AF8-'Raw Values'!$AE8)/7)))</f>
        <v>0.34953200000000001</v>
      </c>
      <c r="P8" s="136">
        <f>SUM(('Raw Values'!$AE8+(4*('Raw Values'!$AF8-'Raw Values'!$AE8)/7)))</f>
        <v>0.34953200000000001</v>
      </c>
      <c r="Q8" s="136">
        <f>SUM(('Raw Values'!$AE8+(5*('Raw Values'!$AF8-'Raw Values'!$AE8)/7)))</f>
        <v>0.34953200000000001</v>
      </c>
      <c r="R8" s="136">
        <f>SUM(('Raw Values'!$AE8+(6*('Raw Values'!$AF8-'Raw Values'!$AE8)/7)))</f>
        <v>0.34953200000000001</v>
      </c>
      <c r="S8" s="136"/>
      <c r="T8" s="136"/>
      <c r="U8" s="136"/>
      <c r="V8" s="136"/>
      <c r="W8" s="136"/>
      <c r="X8" s="137"/>
      <c r="Y8" s="138"/>
      <c r="Z8" s="138"/>
      <c r="AA8" s="135"/>
      <c r="AB8" s="139">
        <f>SUM(('Raw Values'!$AC8+(('Raw Values'!$AD8-'Raw Values'!$AC8)/7)))</f>
        <v>0.29127700000000001</v>
      </c>
      <c r="AC8" s="139">
        <f>SUM(('Raw Values'!$AC8+(2*('Raw Values'!$AD8-'Raw Values'!$AC8)/7)))</f>
        <v>0.29127700000000001</v>
      </c>
      <c r="AD8" s="139">
        <f>SUM(('Raw Values'!$AC8+(3*('Raw Values'!$AD8-'Raw Values'!$AC8)/7)))</f>
        <v>0.29127700000000001</v>
      </c>
      <c r="AE8" s="139">
        <f>SUM(('Raw Values'!$AC8+(4*('Raw Values'!$AD8-'Raw Values'!$AC8)/7)))</f>
        <v>0.29127700000000001</v>
      </c>
      <c r="AF8" s="139">
        <f>SUM(('Raw Values'!$AC8+(5*('Raw Values'!$AD8-'Raw Values'!$AC8)/7)))</f>
        <v>0.29127700000000001</v>
      </c>
      <c r="AG8" s="140">
        <f>SUM(('Raw Values'!$AC8+(6*('Raw Values'!$AD8-'Raw Values'!$AC8)/7)))</f>
        <v>0.29127700000000001</v>
      </c>
      <c r="AH8" s="149"/>
      <c r="AI8" s="149"/>
      <c r="AJ8" s="149"/>
      <c r="AK8" s="149"/>
      <c r="AL8" s="149"/>
      <c r="AM8" s="150"/>
      <c r="AN8" s="142">
        <f t="shared" ref="AN8:AP8" si="17">SUM(DEGREES(ATAN(B8/1000))*2)</f>
        <v>0.59357896674409771</v>
      </c>
      <c r="AO8" s="142">
        <f t="shared" si="17"/>
        <v>0.73337596485031353</v>
      </c>
      <c r="AP8" s="142">
        <f t="shared" si="17"/>
        <v>2.3224528586563387</v>
      </c>
      <c r="AQ8" s="141"/>
      <c r="AR8" s="133">
        <f t="shared" ref="AR8:AT8" si="18">SUM((PI())*B8^2)</f>
        <v>84.296470718182746</v>
      </c>
      <c r="AS8" s="133">
        <f t="shared" si="18"/>
        <v>128.67963509103794</v>
      </c>
      <c r="AT8" s="133">
        <f t="shared" si="18"/>
        <v>1290.7952841991337</v>
      </c>
      <c r="AU8" s="134">
        <f t="shared" si="4"/>
        <v>0.65508789062499984</v>
      </c>
      <c r="AV8" s="141"/>
      <c r="AW8" s="134">
        <f>SUM('Raw Values'!B8/2)</f>
        <v>0.505</v>
      </c>
      <c r="AX8" s="133">
        <f>SUM((1-AW8)*'Raw Values'!C8 * 0.5)</f>
        <v>8.6624999999999996</v>
      </c>
      <c r="AY8" s="141"/>
      <c r="AZ8" s="143">
        <v>34</v>
      </c>
      <c r="BA8" s="144">
        <v>139</v>
      </c>
      <c r="BB8" s="143">
        <v>43</v>
      </c>
      <c r="BC8" s="143">
        <v>26</v>
      </c>
      <c r="BD8" s="143">
        <v>17</v>
      </c>
      <c r="BE8" s="144">
        <v>70</v>
      </c>
      <c r="BF8" s="143">
        <v>22</v>
      </c>
      <c r="BG8" s="141"/>
      <c r="BH8" s="145">
        <f>SUM(AZ8*(1/'Raw Values'!$F8))</f>
        <v>199.99999999999997</v>
      </c>
      <c r="BI8" s="145">
        <f t="shared" si="5"/>
        <v>100.99999999999999</v>
      </c>
      <c r="BJ8" s="129"/>
      <c r="BK8" s="146">
        <f>SUM(AZ8*'Raw Values'!J8)</f>
        <v>408</v>
      </c>
      <c r="BL8" s="147">
        <f t="shared" si="6"/>
        <v>206.04</v>
      </c>
    </row>
    <row r="9" spans="1:64" ht="15.75" customHeight="1" x14ac:dyDescent="0.15">
      <c r="A9" s="132" t="s">
        <v>150</v>
      </c>
      <c r="B9" s="133">
        <f>SUM('Raw Values'!S9+'Raw Values'!T9)</f>
        <v>8.83</v>
      </c>
      <c r="C9" s="133">
        <f>SUM('Raw Values'!S9+'Raw Values'!U9)</f>
        <v>11.1</v>
      </c>
      <c r="D9" s="133">
        <f>SUM('Raw Values'!S9+'Raw Values'!U9+'Raw Values'!W9)</f>
        <v>31.1</v>
      </c>
      <c r="E9" s="134">
        <f t="shared" si="0"/>
        <v>0.79549549549549547</v>
      </c>
      <c r="F9" s="133">
        <f>SUM($B9+'Firing Inaccuracy(Crouching) Ra'!$S9)</f>
        <v>31.436588270418028</v>
      </c>
      <c r="G9" s="133">
        <f>SUM($C9+'Firing Inaccuracy(Standing) Raw'!$S9)</f>
        <v>41.624523726182794</v>
      </c>
      <c r="H9" s="133">
        <f>SUM($D9+'Firing Inaccuracy(Standing) Raw'!$M9)</f>
        <v>61.549047773239806</v>
      </c>
      <c r="I9" s="134">
        <f t="shared" si="1"/>
        <v>0.75524199333105357</v>
      </c>
      <c r="J9" s="135"/>
      <c r="K9" s="135"/>
      <c r="L9" s="135"/>
      <c r="M9" s="135">
        <f>SUM(('Raw Values'!$AE9+(('Raw Values'!$AF9-'Raw Values'!$AE9)/7)))</f>
        <v>0.34538799999999997</v>
      </c>
      <c r="N9" s="136">
        <f>SUM(('Raw Values'!$AE9+(2*('Raw Values'!$AF9-'Raw Values'!$AE9)/7)))</f>
        <v>0.34538799999999997</v>
      </c>
      <c r="O9" s="136">
        <f>SUM(('Raw Values'!$AE9+(3*('Raw Values'!$AF9-'Raw Values'!$AE9)/7)))</f>
        <v>0.34538799999999997</v>
      </c>
      <c r="P9" s="136">
        <f>SUM(('Raw Values'!$AE9+(4*('Raw Values'!$AF9-'Raw Values'!$AE9)/7)))</f>
        <v>0.34538799999999997</v>
      </c>
      <c r="Q9" s="136">
        <f>SUM(('Raw Values'!$AE9+(5*('Raw Values'!$AF9-'Raw Values'!$AE9)/7)))</f>
        <v>0.34538799999999997</v>
      </c>
      <c r="R9" s="136">
        <f>SUM(('Raw Values'!$AE9+(6*('Raw Values'!$AF9-'Raw Values'!$AE9)/7)))</f>
        <v>0.34538799999999997</v>
      </c>
      <c r="S9" s="136"/>
      <c r="T9" s="136"/>
      <c r="U9" s="136"/>
      <c r="V9" s="136"/>
      <c r="W9" s="136"/>
      <c r="X9" s="148"/>
      <c r="Y9" s="138"/>
      <c r="Z9" s="138"/>
      <c r="AA9" s="135"/>
      <c r="AB9" s="139">
        <f>SUM(('Raw Values'!$AC9+(('Raw Values'!$AD9-'Raw Values'!$AC9)/7)))</f>
        <v>0.287823</v>
      </c>
      <c r="AC9" s="139">
        <f>SUM(('Raw Values'!$AC9+(2*('Raw Values'!$AD9-'Raw Values'!$AC9)/7)))</f>
        <v>0.287823</v>
      </c>
      <c r="AD9" s="139">
        <f>SUM(('Raw Values'!$AC9+(3*('Raw Values'!$AD9-'Raw Values'!$AC9)/7)))</f>
        <v>0.287823</v>
      </c>
      <c r="AE9" s="139">
        <f>SUM(('Raw Values'!$AC9+(4*('Raw Values'!$AD9-'Raw Values'!$AC9)/7)))</f>
        <v>0.287823</v>
      </c>
      <c r="AF9" s="139">
        <f>SUM(('Raw Values'!$AC9+(5*('Raw Values'!$AD9-'Raw Values'!$AC9)/7)))</f>
        <v>0.287823</v>
      </c>
      <c r="AG9" s="140">
        <f>SUM(('Raw Values'!$AC9+(6*('Raw Values'!$AD9-'Raw Values'!$AC9)/7)))</f>
        <v>0.287823</v>
      </c>
      <c r="AH9" s="149"/>
      <c r="AI9" s="149"/>
      <c r="AJ9" s="149"/>
      <c r="AK9" s="149"/>
      <c r="AL9" s="149"/>
      <c r="AM9" s="150"/>
      <c r="AN9" s="142">
        <f t="shared" ref="AN9:AP9" si="19">SUM(DEGREES(ATAN(B9/1000))*2)</f>
        <v>1.0118171699905174</v>
      </c>
      <c r="AO9" s="142">
        <f t="shared" si="19"/>
        <v>1.2719140693958024</v>
      </c>
      <c r="AP9" s="142">
        <f t="shared" si="19"/>
        <v>3.5626491718477684</v>
      </c>
      <c r="AQ9" s="141"/>
      <c r="AR9" s="133">
        <f t="shared" ref="AR9:AT9" si="20">SUM((PI())*B9^2)</f>
        <v>244.94652344847722</v>
      </c>
      <c r="AS9" s="133">
        <f t="shared" si="20"/>
        <v>387.07563084879837</v>
      </c>
      <c r="AT9" s="133">
        <f t="shared" si="20"/>
        <v>3038.579830478584</v>
      </c>
      <c r="AU9" s="134">
        <f t="shared" si="4"/>
        <v>0.63281308335362396</v>
      </c>
      <c r="AV9" s="141"/>
      <c r="AW9" s="134">
        <f>SUM('Raw Values'!B9/2)</f>
        <v>0.64</v>
      </c>
      <c r="AX9" s="133">
        <f>SUM((1-AW9)*'Raw Values'!C9 * 0.5)</f>
        <v>6.84</v>
      </c>
      <c r="AY9" s="141"/>
      <c r="AZ9" s="143">
        <v>37</v>
      </c>
      <c r="BA9" s="144">
        <v>151</v>
      </c>
      <c r="BB9" s="143">
        <v>47</v>
      </c>
      <c r="BC9" s="143">
        <v>28</v>
      </c>
      <c r="BD9" s="143">
        <v>24</v>
      </c>
      <c r="BE9" s="144">
        <v>96</v>
      </c>
      <c r="BF9" s="143">
        <v>30</v>
      </c>
      <c r="BG9" s="141"/>
      <c r="BH9" s="145">
        <f>SUM(AZ9*(1/'Raw Values'!$F9))</f>
        <v>246.66666666666669</v>
      </c>
      <c r="BI9" s="145">
        <f t="shared" si="5"/>
        <v>157.86666666666667</v>
      </c>
      <c r="BJ9" s="129"/>
      <c r="BK9" s="146">
        <f>SUM(AZ9*'Raw Values'!J9)</f>
        <v>481</v>
      </c>
      <c r="BL9" s="147">
        <f t="shared" si="6"/>
        <v>307.84000000000003</v>
      </c>
    </row>
    <row r="10" spans="1:64" ht="15.75" customHeight="1" x14ac:dyDescent="0.15">
      <c r="A10" s="132" t="s">
        <v>151</v>
      </c>
      <c r="B10" s="133">
        <f>SUM('Raw Values'!S10+'Raw Values'!T10)</f>
        <v>10.6</v>
      </c>
      <c r="C10" s="133">
        <f>SUM('Raw Values'!S10+'Raw Values'!U10)</f>
        <v>13.43</v>
      </c>
      <c r="D10" s="133">
        <f>SUM('Raw Values'!S10+'Raw Values'!U10+'Raw Values'!W10)</f>
        <v>26.84</v>
      </c>
      <c r="E10" s="134">
        <f t="shared" si="0"/>
        <v>0.78927773641102006</v>
      </c>
      <c r="F10" s="133">
        <f>SUM($B10+'Firing Inaccuracy(Crouching) Ra'!$R10)</f>
        <v>38.720521290384319</v>
      </c>
      <c r="G10" s="133">
        <f>SUM($C10+'Firing Inaccuracy(Standing) Raw'!$R10)</f>
        <v>49.266594656009445</v>
      </c>
      <c r="H10" s="133">
        <f>SUM($D10+'Firing Inaccuracy(Standing) Raw'!$M10)</f>
        <v>53.609666540000518</v>
      </c>
      <c r="I10" s="134">
        <f t="shared" si="1"/>
        <v>0.78593865804486374</v>
      </c>
      <c r="J10" s="135"/>
      <c r="K10" s="135"/>
      <c r="L10" s="135"/>
      <c r="M10" s="135">
        <f>SUM(('Raw Values'!$AE10+(('Raw Values'!$AF10-'Raw Values'!$AE10)/7)))</f>
        <v>0.25719828571428571</v>
      </c>
      <c r="N10" s="136">
        <f>SUM(('Raw Values'!$AE10+(2*('Raw Values'!$AF10-'Raw Values'!$AE10)/7)))</f>
        <v>0.27189657142857143</v>
      </c>
      <c r="O10" s="136">
        <f>SUM(('Raw Values'!$AE10+(3*('Raw Values'!$AF10-'Raw Values'!$AE10)/7)))</f>
        <v>0.28659485714285715</v>
      </c>
      <c r="P10" s="136">
        <f>SUM(('Raw Values'!$AE10+(4*('Raw Values'!$AF10-'Raw Values'!$AE10)/7)))</f>
        <v>0.30129314285714281</v>
      </c>
      <c r="Q10" s="136">
        <f>SUM(('Raw Values'!$AE10+(5*('Raw Values'!$AF10-'Raw Values'!$AE10)/7)))</f>
        <v>0.31599142857142853</v>
      </c>
      <c r="R10" s="136">
        <f>SUM(('Raw Values'!$AE10+(6*('Raw Values'!$AF10-'Raw Values'!$AE10)/7)))</f>
        <v>0.33068971428571425</v>
      </c>
      <c r="S10" s="136"/>
      <c r="T10" s="136"/>
      <c r="U10" s="136"/>
      <c r="V10" s="136"/>
      <c r="W10" s="136"/>
      <c r="X10" s="148"/>
      <c r="Y10" s="138"/>
      <c r="Z10" s="138"/>
      <c r="AA10" s="135"/>
      <c r="AB10" s="139">
        <f>SUM(('Raw Values'!$AC10+(('Raw Values'!$AD10-'Raw Values'!$AC10)/7)))</f>
        <v>0.23611757142857143</v>
      </c>
      <c r="AC10" s="139">
        <f>SUM(('Raw Values'!$AC10+(2*('Raw Values'!$AD10-'Raw Values'!$AC10)/7)))</f>
        <v>0.24473514285714287</v>
      </c>
      <c r="AD10" s="139">
        <f>SUM(('Raw Values'!$AC10+(3*('Raw Values'!$AD10-'Raw Values'!$AC10)/7)))</f>
        <v>0.25335271428571426</v>
      </c>
      <c r="AE10" s="139">
        <f>SUM(('Raw Values'!$AC10+(4*('Raw Values'!$AD10-'Raw Values'!$AC10)/7)))</f>
        <v>0.26197028571428571</v>
      </c>
      <c r="AF10" s="139">
        <f>SUM(('Raw Values'!$AC10+(5*('Raw Values'!$AD10-'Raw Values'!$AC10)/7)))</f>
        <v>0.27058785714285716</v>
      </c>
      <c r="AG10" s="140">
        <f>SUM(('Raw Values'!$AC10+(6*('Raw Values'!$AD10-'Raw Values'!$AC10)/7)))</f>
        <v>0.27920542857142855</v>
      </c>
      <c r="AH10" s="149"/>
      <c r="AI10" s="149"/>
      <c r="AJ10" s="149"/>
      <c r="AK10" s="149"/>
      <c r="AL10" s="149"/>
      <c r="AM10" s="150"/>
      <c r="AN10" s="142">
        <f t="shared" ref="AN10:AP10" si="21">SUM(DEGREES(ATAN(B10/1000))*2)</f>
        <v>1.214625035283998</v>
      </c>
      <c r="AO10" s="142">
        <f t="shared" si="21"/>
        <v>1.5388721226654041</v>
      </c>
      <c r="AP10" s="142">
        <f t="shared" si="21"/>
        <v>3.074899215013275</v>
      </c>
      <c r="AQ10" s="141"/>
      <c r="AR10" s="133">
        <f t="shared" ref="AR10:AT10" si="22">SUM((PI())*B10^2)</f>
        <v>352.98935055734916</v>
      </c>
      <c r="AS10" s="133">
        <f t="shared" si="22"/>
        <v>566.63304480545764</v>
      </c>
      <c r="AT10" s="133">
        <f t="shared" si="22"/>
        <v>2263.1581087118752</v>
      </c>
      <c r="AU10" s="134">
        <f t="shared" si="4"/>
        <v>0.62295934519410379</v>
      </c>
      <c r="AV10" s="141"/>
      <c r="AW10" s="134">
        <f>SUM('Raw Values'!B10/2)</f>
        <v>0.77649999999999997</v>
      </c>
      <c r="AX10" s="133">
        <f>SUM((1-AW10)*'Raw Values'!C10 * 0.5)</f>
        <v>3.4642500000000007</v>
      </c>
      <c r="AY10" s="141"/>
      <c r="AZ10" s="143">
        <v>30</v>
      </c>
      <c r="BA10" s="144">
        <v>123</v>
      </c>
      <c r="BB10" s="143">
        <v>38</v>
      </c>
      <c r="BC10" s="143">
        <v>23</v>
      </c>
      <c r="BD10" s="143">
        <v>23</v>
      </c>
      <c r="BE10" s="144">
        <v>95</v>
      </c>
      <c r="BF10" s="143">
        <v>29</v>
      </c>
      <c r="BG10" s="141"/>
      <c r="BH10" s="145">
        <f>SUM(AZ10*(1/'Raw Values'!$F10))</f>
        <v>300</v>
      </c>
      <c r="BI10" s="145">
        <f t="shared" si="5"/>
        <v>232.95</v>
      </c>
      <c r="BJ10" s="129"/>
      <c r="BK10" s="146">
        <f>SUM(AZ10*'Raw Values'!J10)</f>
        <v>360</v>
      </c>
      <c r="BL10" s="147">
        <f t="shared" si="6"/>
        <v>279.53999999999996</v>
      </c>
    </row>
    <row r="11" spans="1:64" ht="15.75" customHeight="1" x14ac:dyDescent="0.15">
      <c r="A11" s="153" t="s">
        <v>152</v>
      </c>
      <c r="B11" s="133">
        <f>SUM('Raw Values'!S11+'Raw Values'!T11)</f>
        <v>5.68</v>
      </c>
      <c r="C11" s="133">
        <f>SUM('Raw Values'!S11+'Raw Values'!U11)</f>
        <v>6.9</v>
      </c>
      <c r="D11" s="133">
        <f>SUM('Raw Values'!S11+'Raw Values'!U11+'Raw Values'!W11)</f>
        <v>10.71</v>
      </c>
      <c r="E11" s="134">
        <f t="shared" si="0"/>
        <v>0.8231884057971014</v>
      </c>
      <c r="F11" s="133">
        <f>SUM($B11+'Firing Inaccuracy(Crouching) Ra'!$AD11)</f>
        <v>5.68</v>
      </c>
      <c r="G11" s="133">
        <f>SUM($C11+'Firing Inaccuracy(Standing) Raw'!$AD11)</f>
        <v>6.9</v>
      </c>
      <c r="H11" s="133">
        <f>SUM($D11+'Firing Inaccuracy(Standing) Raw'!$M11)</f>
        <v>53.885550511710242</v>
      </c>
      <c r="I11" s="134">
        <f t="shared" si="1"/>
        <v>0.8231884057971014</v>
      </c>
      <c r="J11" s="135"/>
      <c r="K11" s="135"/>
      <c r="L11" s="135"/>
      <c r="M11" s="135">
        <f>SUM(('Raw Values'!$AE11+(('Raw Values'!$AF11-'Raw Values'!$AE11)/7)))</f>
        <v>0.39100000000000001</v>
      </c>
      <c r="N11" s="136">
        <f>SUM(('Raw Values'!$AE11+(2*('Raw Values'!$AF11-'Raw Values'!$AE11)/7)))</f>
        <v>0.39100000000000001</v>
      </c>
      <c r="O11" s="136">
        <f>SUM(('Raw Values'!$AE11+(3*('Raw Values'!$AF11-'Raw Values'!$AE11)/7)))</f>
        <v>0.39100000000000001</v>
      </c>
      <c r="P11" s="136">
        <f>SUM(('Raw Values'!$AE11+(4*('Raw Values'!$AF11-'Raw Values'!$AE11)/7)))</f>
        <v>0.39100000000000001</v>
      </c>
      <c r="Q11" s="136">
        <f>SUM(('Raw Values'!$AE11+(5*('Raw Values'!$AF11-'Raw Values'!$AE11)/7)))</f>
        <v>0.39100000000000001</v>
      </c>
      <c r="R11" s="136">
        <f>SUM(('Raw Values'!$AE11+(6*('Raw Values'!$AF11-'Raw Values'!$AE11)/7)))</f>
        <v>0.39100000000000001</v>
      </c>
      <c r="S11" s="136"/>
      <c r="T11" s="136"/>
      <c r="U11" s="136"/>
      <c r="V11" s="136"/>
      <c r="W11" s="136"/>
      <c r="X11" s="148"/>
      <c r="Y11" s="138"/>
      <c r="Z11" s="138"/>
      <c r="AA11" s="135"/>
      <c r="AB11" s="139">
        <f>SUM(('Raw Values'!$AC11+(('Raw Values'!$AD11-'Raw Values'!$AC11)/7)))</f>
        <v>0.315</v>
      </c>
      <c r="AC11" s="139">
        <f>SUM(('Raw Values'!$AC11+(2*('Raw Values'!$AD11-'Raw Values'!$AC11)/7)))</f>
        <v>0.315</v>
      </c>
      <c r="AD11" s="139">
        <f>SUM(('Raw Values'!$AC11+(3*('Raw Values'!$AD11-'Raw Values'!$AC11)/7)))</f>
        <v>0.315</v>
      </c>
      <c r="AE11" s="139">
        <f>SUM(('Raw Values'!$AC11+(4*('Raw Values'!$AD11-'Raw Values'!$AC11)/7)))</f>
        <v>0.315</v>
      </c>
      <c r="AF11" s="139">
        <f>SUM(('Raw Values'!$AC11+(5*('Raw Values'!$AD11-'Raw Values'!$AC11)/7)))</f>
        <v>0.315</v>
      </c>
      <c r="AG11" s="140">
        <f>SUM(('Raw Values'!$AC11+(6*('Raw Values'!$AD11-'Raw Values'!$AC11)/7)))</f>
        <v>0.315</v>
      </c>
      <c r="AH11" s="149"/>
      <c r="AI11" s="149"/>
      <c r="AJ11" s="149"/>
      <c r="AK11" s="149"/>
      <c r="AL11" s="149"/>
      <c r="AM11" s="150"/>
      <c r="AN11" s="142">
        <f t="shared" ref="AN11:AP11" si="23">SUM(DEGREES(ATAN(B11/1000))*2)</f>
        <v>0.65087305575320897</v>
      </c>
      <c r="AO11" s="142">
        <f t="shared" si="23"/>
        <v>0.79066920951948549</v>
      </c>
      <c r="AP11" s="142">
        <f t="shared" si="23"/>
        <v>1.2272286758851443</v>
      </c>
      <c r="AQ11" s="141"/>
      <c r="AR11" s="133">
        <f t="shared" ref="AR11:AT11" si="24">SUM((PI())*B11^2)</f>
        <v>101.35531882717534</v>
      </c>
      <c r="AS11" s="133">
        <f t="shared" si="24"/>
        <v>149.57122623741006</v>
      </c>
      <c r="AT11" s="133">
        <f t="shared" si="24"/>
        <v>360.35355789662907</v>
      </c>
      <c r="AU11" s="134">
        <f t="shared" si="4"/>
        <v>0.67763915143877329</v>
      </c>
      <c r="AV11" s="141"/>
      <c r="AW11" s="134">
        <f>SUM('Raw Values'!B11/2)</f>
        <v>0.90600000000000003</v>
      </c>
      <c r="AX11" s="133">
        <f>SUM((1-AW11)*'Raw Values'!C11 * 0.5)</f>
        <v>1.5509999999999995</v>
      </c>
      <c r="AY11" s="141"/>
      <c r="AZ11" s="143">
        <v>32</v>
      </c>
      <c r="BA11" s="144">
        <v>130</v>
      </c>
      <c r="BB11" s="143">
        <v>40</v>
      </c>
      <c r="BC11" s="143">
        <v>24</v>
      </c>
      <c r="BD11" s="143">
        <v>29</v>
      </c>
      <c r="BE11" s="144">
        <v>118</v>
      </c>
      <c r="BF11" s="143">
        <v>37</v>
      </c>
      <c r="BG11" s="141"/>
      <c r="BH11" s="145">
        <f>SUM(AZ11*(1/'Raw Values'!$F11))</f>
        <v>266.66666666666669</v>
      </c>
      <c r="BI11" s="145">
        <f t="shared" si="5"/>
        <v>241.60000000000002</v>
      </c>
      <c r="BJ11" s="129"/>
      <c r="BK11" s="146">
        <f>SUM(AZ11*'Raw Values'!J11)</f>
        <v>576</v>
      </c>
      <c r="BL11" s="147">
        <f t="shared" si="6"/>
        <v>521.85599999999999</v>
      </c>
    </row>
    <row r="12" spans="1:64" ht="15.75" customHeight="1" x14ac:dyDescent="0.15">
      <c r="A12" s="154"/>
      <c r="B12" s="155"/>
      <c r="C12" s="155"/>
      <c r="D12" s="155"/>
      <c r="E12" s="154"/>
      <c r="F12" s="155"/>
      <c r="G12" s="155"/>
      <c r="H12" s="154"/>
      <c r="I12" s="154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48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56"/>
      <c r="AN12" s="155"/>
      <c r="AO12" s="155"/>
      <c r="AP12" s="155"/>
      <c r="AQ12" s="156"/>
      <c r="AR12" s="155"/>
      <c r="AS12" s="155"/>
      <c r="AT12" s="155"/>
      <c r="AU12" s="154"/>
      <c r="AV12" s="156"/>
      <c r="AW12" s="154"/>
      <c r="AX12" s="155"/>
      <c r="AY12" s="156"/>
      <c r="AZ12" s="157"/>
      <c r="BA12" s="158"/>
      <c r="BB12" s="157"/>
      <c r="BC12" s="157"/>
      <c r="BD12" s="157"/>
      <c r="BE12" s="158"/>
      <c r="BF12" s="157"/>
      <c r="BG12" s="156"/>
      <c r="BH12" s="154"/>
      <c r="BI12" s="154"/>
      <c r="BJ12" s="159"/>
      <c r="BK12" s="160"/>
      <c r="BL12" s="161"/>
    </row>
    <row r="13" spans="1:64" ht="15.75" customHeight="1" x14ac:dyDescent="0.15">
      <c r="A13" s="116" t="s">
        <v>53</v>
      </c>
      <c r="B13" s="117" t="s">
        <v>20</v>
      </c>
      <c r="C13" s="117" t="s">
        <v>19</v>
      </c>
      <c r="D13" s="117" t="s">
        <v>21</v>
      </c>
      <c r="E13" s="118" t="s">
        <v>182</v>
      </c>
      <c r="F13" s="117" t="s">
        <v>183</v>
      </c>
      <c r="G13" s="117" t="s">
        <v>184</v>
      </c>
      <c r="H13" s="118" t="s">
        <v>185</v>
      </c>
      <c r="I13" s="118" t="s">
        <v>186</v>
      </c>
      <c r="J13" s="120"/>
      <c r="K13" s="120"/>
      <c r="L13" s="120" t="s">
        <v>189</v>
      </c>
      <c r="M13" s="120" t="s">
        <v>190</v>
      </c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48"/>
      <c r="Y13" s="120"/>
      <c r="Z13" s="120"/>
      <c r="AA13" s="120" t="s">
        <v>198</v>
      </c>
      <c r="AB13" s="120" t="s">
        <v>199</v>
      </c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62"/>
      <c r="AN13" s="125" t="s">
        <v>205</v>
      </c>
      <c r="AO13" s="125" t="s">
        <v>206</v>
      </c>
      <c r="AP13" s="125" t="s">
        <v>207</v>
      </c>
      <c r="AQ13" s="124"/>
      <c r="AR13" s="117" t="s">
        <v>208</v>
      </c>
      <c r="AS13" s="117" t="s">
        <v>209</v>
      </c>
      <c r="AT13" s="117" t="s">
        <v>210</v>
      </c>
      <c r="AU13" s="118" t="s">
        <v>182</v>
      </c>
      <c r="AV13" s="126"/>
      <c r="AW13" s="118" t="s">
        <v>5</v>
      </c>
      <c r="AX13" s="117" t="s">
        <v>212</v>
      </c>
      <c r="AY13" s="126"/>
      <c r="AZ13" s="127" t="s">
        <v>213</v>
      </c>
      <c r="BA13" s="163" t="s">
        <v>214</v>
      </c>
      <c r="BB13" s="127" t="s">
        <v>215</v>
      </c>
      <c r="BC13" s="127" t="s">
        <v>216</v>
      </c>
      <c r="BD13" s="127" t="s">
        <v>217</v>
      </c>
      <c r="BE13" s="163" t="s">
        <v>218</v>
      </c>
      <c r="BF13" s="127" t="s">
        <v>219</v>
      </c>
      <c r="BG13" s="126"/>
      <c r="BH13" s="118" t="s">
        <v>220</v>
      </c>
      <c r="BI13" s="118" t="s">
        <v>221</v>
      </c>
      <c r="BJ13" s="129"/>
      <c r="BK13" s="130" t="s">
        <v>222</v>
      </c>
      <c r="BL13" s="131" t="s">
        <v>223</v>
      </c>
    </row>
    <row r="14" spans="1:64" ht="15.75" customHeight="1" x14ac:dyDescent="0.15">
      <c r="A14" s="151" t="s">
        <v>153</v>
      </c>
      <c r="B14" s="133">
        <f>SUM('Raw Values'!S14+'Raw Values'!T14)</f>
        <v>45.25</v>
      </c>
      <c r="C14" s="133">
        <f>SUM('Raw Values'!S14+'Raw Values'!U14)</f>
        <v>47</v>
      </c>
      <c r="D14" s="133">
        <f>SUM('Raw Values'!S14+'Raw Values'!U14+'Raw Values'!W14)</f>
        <v>62.99</v>
      </c>
      <c r="E14" s="134">
        <f t="shared" ref="E14:E17" si="25">SUM(B14/C14)</f>
        <v>0.96276595744680848</v>
      </c>
      <c r="F14" s="142"/>
      <c r="G14" s="142"/>
      <c r="H14" s="133">
        <f>SUM($D14+'Firing Inaccuracy(Standing) Raw'!$M14)</f>
        <v>62.99</v>
      </c>
      <c r="I14" s="164"/>
      <c r="J14" s="165"/>
      <c r="K14" s="165"/>
      <c r="L14" s="165">
        <f>SUM(('Raw Values'!$AE14+(('Raw Values'!$AF14-'Raw Values'!$AE14)/3)))</f>
        <v>0.399729</v>
      </c>
      <c r="M14" s="165">
        <f>SUM(('Raw Values'!$AE14+(2*('Raw Values'!$AF14-'Raw Values'!$AE14)/3)))</f>
        <v>0.399729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66"/>
      <c r="Z14" s="166"/>
      <c r="AA14" s="166">
        <f>SUM(('Raw Values'!$AC14+(('Raw Values'!$AD14-'Raw Values'!$AC14)/3)))</f>
        <v>0.28552100000000002</v>
      </c>
      <c r="AB14" s="166">
        <f>SUM(('Raw Values'!$AC14+(2*('Raw Values'!$AD14-'Raw Values'!$AC14)/3)))</f>
        <v>0.28552100000000002</v>
      </c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50"/>
      <c r="AN14" s="142">
        <f t="shared" ref="AN14:AP14" si="26">SUM(DEGREES(ATAN(B14/1000))*2)</f>
        <v>5.1817333339772533</v>
      </c>
      <c r="AO14" s="142">
        <f t="shared" si="26"/>
        <v>5.3818427756732188</v>
      </c>
      <c r="AP14" s="142">
        <f t="shared" si="26"/>
        <v>7.2085984213339849</v>
      </c>
      <c r="AQ14" s="141"/>
      <c r="AR14" s="133">
        <f t="shared" ref="AR14:AT14" si="27">SUM((PI())*B14^2)</f>
        <v>6432.6073077659512</v>
      </c>
      <c r="AS14" s="133">
        <f t="shared" si="27"/>
        <v>6939.7781717798534</v>
      </c>
      <c r="AT14" s="133">
        <f t="shared" si="27"/>
        <v>12465.023149513632</v>
      </c>
      <c r="AU14" s="134">
        <f t="shared" ref="AU14:AU17" si="28">SUM(AR14/AS14)</f>
        <v>0.92691828881846994</v>
      </c>
      <c r="AV14" s="141"/>
      <c r="AW14" s="134">
        <f>SUM('Raw Values'!B14/2)</f>
        <v>0.75</v>
      </c>
      <c r="AX14" s="133">
        <f>SUM((1-AW14)*'Raw Values'!C14 * 0.5)</f>
        <v>3.75</v>
      </c>
      <c r="AY14" s="141"/>
      <c r="AZ14" s="143">
        <v>233</v>
      </c>
      <c r="BA14" s="144">
        <v>932</v>
      </c>
      <c r="BB14" s="143">
        <v>291</v>
      </c>
      <c r="BC14" s="143">
        <v>174</v>
      </c>
      <c r="BD14" s="143">
        <v>174</v>
      </c>
      <c r="BE14" s="144">
        <v>699</v>
      </c>
      <c r="BF14" s="143">
        <v>218</v>
      </c>
      <c r="BG14" s="141"/>
      <c r="BH14" s="145">
        <f>SUM(AZ14*(1/'Raw Values'!$F14)*'Raw Values'!O14)</f>
        <v>2192.9411764705883</v>
      </c>
      <c r="BI14" s="145">
        <f t="shared" ref="BI14:BI17" si="29">SUM(BH14*AW14)</f>
        <v>1644.7058823529412</v>
      </c>
      <c r="BJ14" s="129"/>
      <c r="BK14" s="146">
        <f>SUM(AZ14*'Raw Values'!J14)</f>
        <v>1165</v>
      </c>
      <c r="BL14" s="147">
        <f t="shared" ref="BL14:BL17" si="30">SUM(BK14*AW14)</f>
        <v>873.75</v>
      </c>
    </row>
    <row r="15" spans="1:64" ht="15.75" customHeight="1" x14ac:dyDescent="0.15">
      <c r="A15" s="132" t="s">
        <v>155</v>
      </c>
      <c r="B15" s="133">
        <f>SUM('Raw Values'!S15+'Raw Values'!T15)</f>
        <v>45.25</v>
      </c>
      <c r="C15" s="133">
        <f>SUM('Raw Values'!S15+'Raw Values'!U15)</f>
        <v>47</v>
      </c>
      <c r="D15" s="133">
        <f>SUM('Raw Values'!S15+'Raw Values'!U15+'Raw Values'!W15)</f>
        <v>83.75</v>
      </c>
      <c r="E15" s="134">
        <f t="shared" si="25"/>
        <v>0.96276595744680848</v>
      </c>
      <c r="F15" s="142"/>
      <c r="G15" s="142"/>
      <c r="H15" s="133">
        <f>SUM($D15+'Firing Inaccuracy(Standing) Raw'!$M15)</f>
        <v>83.870819059042262</v>
      </c>
      <c r="I15" s="164"/>
      <c r="J15" s="165"/>
      <c r="K15" s="165"/>
      <c r="L15" s="165">
        <f>SUM(('Raw Values'!$AE15+(('Raw Values'!$AF15-'Raw Values'!$AE15)/3)))</f>
        <v>0.46051700000000001</v>
      </c>
      <c r="M15" s="165">
        <f>SUM(('Raw Values'!$AE15+(2*('Raw Values'!$AF15-'Raw Values'!$AE15)/3)))</f>
        <v>0.46051700000000001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66"/>
      <c r="Z15" s="166"/>
      <c r="AA15" s="166">
        <f>SUM(('Raw Values'!$AC15+(('Raw Values'!$AD15-'Raw Values'!$AC15)/3)))</f>
        <v>0.32894099999999998</v>
      </c>
      <c r="AB15" s="166">
        <f>SUM(('Raw Values'!$AC15+(2*('Raw Values'!$AD15-'Raw Values'!$AC15)/3)))</f>
        <v>0.32894099999999998</v>
      </c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50"/>
      <c r="AN15" s="142">
        <f t="shared" ref="AN15:AP15" si="31">SUM(DEGREES(ATAN(B15/1000))*2)</f>
        <v>5.1817333339772533</v>
      </c>
      <c r="AO15" s="142">
        <f t="shared" si="31"/>
        <v>5.3818427756732188</v>
      </c>
      <c r="AP15" s="142">
        <f t="shared" si="31"/>
        <v>9.5746989405653444</v>
      </c>
      <c r="AQ15" s="141"/>
      <c r="AR15" s="133">
        <f t="shared" ref="AR15:AT15" si="32">SUM((PI())*B15^2)</f>
        <v>6432.6073077659512</v>
      </c>
      <c r="AS15" s="133">
        <f t="shared" si="32"/>
        <v>6939.7781717798534</v>
      </c>
      <c r="AT15" s="133">
        <f t="shared" si="32"/>
        <v>22035.327221819658</v>
      </c>
      <c r="AU15" s="134">
        <f t="shared" si="28"/>
        <v>0.92691828881846994</v>
      </c>
      <c r="AV15" s="141"/>
      <c r="AW15" s="134">
        <f>SUM('Raw Values'!B15/2)</f>
        <v>0.5</v>
      </c>
      <c r="AX15" s="133">
        <f>SUM((1-AW15)*'Raw Values'!C15 * 0.5)</f>
        <v>6.5</v>
      </c>
      <c r="AY15" s="141"/>
      <c r="AZ15" s="143">
        <v>231</v>
      </c>
      <c r="BA15" s="144">
        <v>924</v>
      </c>
      <c r="BB15" s="143">
        <v>288</v>
      </c>
      <c r="BC15" s="143">
        <v>173</v>
      </c>
      <c r="BD15" s="143">
        <v>115</v>
      </c>
      <c r="BE15" s="144">
        <v>462</v>
      </c>
      <c r="BF15" s="143">
        <v>144</v>
      </c>
      <c r="BG15" s="141"/>
      <c r="BH15" s="145">
        <f>SUM(AZ15*(1/'Raw Values'!$F15)*'Raw Values'!O15)</f>
        <v>2362.5</v>
      </c>
      <c r="BI15" s="145">
        <f t="shared" si="29"/>
        <v>1181.25</v>
      </c>
      <c r="BJ15" s="129"/>
      <c r="BK15" s="146">
        <f>SUM(AZ15*'Raw Values'!J15)</f>
        <v>1848</v>
      </c>
      <c r="BL15" s="147">
        <f t="shared" si="30"/>
        <v>924</v>
      </c>
    </row>
    <row r="16" spans="1:64" ht="15.75" customHeight="1" x14ac:dyDescent="0.15">
      <c r="A16" s="153" t="s">
        <v>156</v>
      </c>
      <c r="B16" s="133">
        <f>SUM('Raw Values'!S16+'Raw Values'!T16)</f>
        <v>67.25</v>
      </c>
      <c r="C16" s="133">
        <f>SUM('Raw Values'!S16+'Raw Values'!U16)</f>
        <v>69</v>
      </c>
      <c r="D16" s="133">
        <f>SUM('Raw Values'!S16+'Raw Values'!U16+'Raw Values'!W16)</f>
        <v>85.8</v>
      </c>
      <c r="E16" s="134">
        <f t="shared" si="25"/>
        <v>0.97463768115942029</v>
      </c>
      <c r="F16" s="142"/>
      <c r="G16" s="142"/>
      <c r="H16" s="133">
        <f>SUM($D16+'Firing Inaccuracy(Standing) Raw'!$M16)</f>
        <v>85.940654660428521</v>
      </c>
      <c r="I16" s="164"/>
      <c r="J16" s="165"/>
      <c r="K16" s="165"/>
      <c r="L16" s="165">
        <f>SUM(('Raw Values'!$AE16+(('Raw Values'!$AF16-'Raw Values'!$AE16)/3)))</f>
        <v>0.46051700000000001</v>
      </c>
      <c r="M16" s="165">
        <f>SUM(('Raw Values'!$AE16+(2*('Raw Values'!$AF16-'Raw Values'!$AE16)/3)))</f>
        <v>0.46051700000000001</v>
      </c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66"/>
      <c r="Z16" s="166"/>
      <c r="AA16" s="166">
        <f>SUM(('Raw Values'!$AC16+(('Raw Values'!$AD16-'Raw Values'!$AC16)/3)))</f>
        <v>0.32894099999999998</v>
      </c>
      <c r="AB16" s="166">
        <f>SUM(('Raw Values'!$AC16+(2*('Raw Values'!$AD16-'Raw Values'!$AC16)/3)))</f>
        <v>0.32894099999999998</v>
      </c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50"/>
      <c r="AN16" s="142">
        <f t="shared" ref="AN16:AP16" si="33">SUM(DEGREES(ATAN(B16/1000))*2)</f>
        <v>7.6946963860482258</v>
      </c>
      <c r="AO16" s="142">
        <f t="shared" si="33"/>
        <v>7.8943051768266255</v>
      </c>
      <c r="AP16" s="142">
        <f t="shared" si="33"/>
        <v>9.8079353337626252</v>
      </c>
      <c r="AQ16" s="141"/>
      <c r="AR16" s="133">
        <f t="shared" ref="AR16:AT16" si="34">SUM((PI())*B16^2)</f>
        <v>14208.049125400688</v>
      </c>
      <c r="AS16" s="133">
        <f t="shared" si="34"/>
        <v>14957.122623741005</v>
      </c>
      <c r="AT16" s="133">
        <f t="shared" si="34"/>
        <v>23127.274142372764</v>
      </c>
      <c r="AU16" s="134">
        <f t="shared" si="28"/>
        <v>0.94991860953581175</v>
      </c>
      <c r="AV16" s="141"/>
      <c r="AW16" s="134">
        <f>SUM('Raw Values'!B16/2)</f>
        <v>0.75</v>
      </c>
      <c r="AX16" s="133">
        <f>SUM((1-AW16)*'Raw Values'!C16 * 0.5)</f>
        <v>4</v>
      </c>
      <c r="AY16" s="141"/>
      <c r="AZ16" s="143">
        <v>248</v>
      </c>
      <c r="BA16" s="144">
        <v>994</v>
      </c>
      <c r="BB16" s="143">
        <v>310</v>
      </c>
      <c r="BC16" s="143">
        <v>186</v>
      </c>
      <c r="BD16" s="143">
        <v>186</v>
      </c>
      <c r="BE16" s="144">
        <v>746</v>
      </c>
      <c r="BF16" s="143">
        <v>233</v>
      </c>
      <c r="BG16" s="141"/>
      <c r="BH16" s="145">
        <f>SUM(AZ16*(1/'Raw Values'!$F16)*'Raw Values'!O16)</f>
        <v>2334.1176470588234</v>
      </c>
      <c r="BI16" s="145">
        <f t="shared" si="29"/>
        <v>1750.5882352941176</v>
      </c>
      <c r="BJ16" s="129"/>
      <c r="BK16" s="146">
        <f>SUM(AZ16*'Raw Values'!J16)</f>
        <v>1736</v>
      </c>
      <c r="BL16" s="147">
        <f t="shared" si="30"/>
        <v>1302</v>
      </c>
    </row>
    <row r="17" spans="1:64" ht="15.75" customHeight="1" x14ac:dyDescent="0.15">
      <c r="A17" s="132" t="s">
        <v>157</v>
      </c>
      <c r="B17" s="133">
        <f>SUM('Raw Values'!S17+'Raw Values'!T17)</f>
        <v>43.25</v>
      </c>
      <c r="C17" s="133">
        <f>SUM('Raw Values'!S17+'Raw Values'!U17)</f>
        <v>45</v>
      </c>
      <c r="D17" s="133">
        <f>SUM('Raw Values'!S17+'Raw Values'!U17+'Raw Values'!W17)</f>
        <v>81.03</v>
      </c>
      <c r="E17" s="134">
        <f t="shared" si="25"/>
        <v>0.96111111111111114</v>
      </c>
      <c r="F17" s="133">
        <f>SUM($B17+'Firing Inaccuracy(Crouching) Ra'!$M17)</f>
        <v>44.317128940567407</v>
      </c>
      <c r="G17" s="133">
        <f>SUM($C17+'Firing Inaccuracy(Standing) Raw'!$M17)</f>
        <v>47.259187869940156</v>
      </c>
      <c r="H17" s="133">
        <f>SUM($D17+'Firing Inaccuracy(Standing) Raw'!$M17)</f>
        <v>83.289187869940164</v>
      </c>
      <c r="I17" s="134">
        <f>SUM(F17/G17)</f>
        <v>0.93774630792493818</v>
      </c>
      <c r="J17" s="165"/>
      <c r="K17" s="165"/>
      <c r="L17" s="165">
        <f>SUM(('Raw Values'!$AE17+(('Raw Values'!$AF17-'Raw Values'!$AE17)/3)))</f>
        <v>0.50656900000000005</v>
      </c>
      <c r="M17" s="165">
        <f>SUM(('Raw Values'!$AE17+(2*('Raw Values'!$AF17-'Raw Values'!$AE17)/3)))</f>
        <v>0.50656900000000005</v>
      </c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66"/>
      <c r="Z17" s="166"/>
      <c r="AA17" s="166">
        <f>SUM(('Raw Values'!$AC17+(('Raw Values'!$AD17-'Raw Values'!$AC17)/3)))</f>
        <v>0.36183500000000002</v>
      </c>
      <c r="AB17" s="166">
        <f>SUM(('Raw Values'!$AC17+(2*('Raw Values'!$AD17-'Raw Values'!$AC17)/3)))</f>
        <v>0.36183500000000002</v>
      </c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50"/>
      <c r="AN17" s="142">
        <f t="shared" ref="AN17:AP17" si="35">SUM(DEGREES(ATAN(B17/1000))*2)</f>
        <v>4.9529981693222975</v>
      </c>
      <c r="AO17" s="142">
        <f t="shared" si="35"/>
        <v>5.153143660537661</v>
      </c>
      <c r="AP17" s="142">
        <f t="shared" si="35"/>
        <v>9.2651115993144906</v>
      </c>
      <c r="AQ17" s="141"/>
      <c r="AR17" s="133">
        <f t="shared" ref="AR17:AT17" si="36">SUM((PI())*B17^2)</f>
        <v>5876.5454080805575</v>
      </c>
      <c r="AS17" s="133">
        <f t="shared" si="36"/>
        <v>6361.7251235193307</v>
      </c>
      <c r="AT17" s="133">
        <f t="shared" si="36"/>
        <v>20627.260367932467</v>
      </c>
      <c r="AU17" s="134">
        <f t="shared" si="28"/>
        <v>0.92373456790123465</v>
      </c>
      <c r="AV17" s="141"/>
      <c r="AW17" s="134">
        <f>SUM('Raw Values'!B17/2)</f>
        <v>0.8</v>
      </c>
      <c r="AX17" s="133">
        <f>SUM((1-AW17)*'Raw Values'!C17 * 0.5)</f>
        <v>1.9999999999999996</v>
      </c>
      <c r="AY17" s="141"/>
      <c r="AZ17" s="143">
        <v>118</v>
      </c>
      <c r="BA17" s="144">
        <v>473</v>
      </c>
      <c r="BB17" s="143">
        <v>148</v>
      </c>
      <c r="BC17" s="143">
        <v>88</v>
      </c>
      <c r="BD17" s="143">
        <v>94</v>
      </c>
      <c r="BE17" s="144">
        <v>379</v>
      </c>
      <c r="BF17" s="143">
        <v>118</v>
      </c>
      <c r="BG17" s="141"/>
      <c r="BH17" s="145">
        <f>SUM(AZ17*(1/'Raw Values'!$F17)*'Raw Values'!O17)</f>
        <v>2022.8571428571431</v>
      </c>
      <c r="BI17" s="145">
        <f t="shared" si="29"/>
        <v>1618.2857142857147</v>
      </c>
      <c r="BJ17" s="129"/>
      <c r="BK17" s="146">
        <f>SUM(AZ17*'Raw Values'!J17)</f>
        <v>826</v>
      </c>
      <c r="BL17" s="147">
        <f t="shared" si="30"/>
        <v>660.80000000000007</v>
      </c>
    </row>
    <row r="18" spans="1:64" ht="15.75" customHeight="1" x14ac:dyDescent="0.15">
      <c r="A18" s="154"/>
      <c r="B18" s="155"/>
      <c r="C18" s="155"/>
      <c r="D18" s="155"/>
      <c r="E18" s="154"/>
      <c r="F18" s="155"/>
      <c r="G18" s="155"/>
      <c r="H18" s="154"/>
      <c r="I18" s="154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56"/>
      <c r="AN18" s="155"/>
      <c r="AO18" s="155"/>
      <c r="AP18" s="155"/>
      <c r="AQ18" s="156"/>
      <c r="AR18" s="155"/>
      <c r="AS18" s="155"/>
      <c r="AT18" s="155"/>
      <c r="AU18" s="154"/>
      <c r="AV18" s="156"/>
      <c r="AW18" s="154"/>
      <c r="AX18" s="155"/>
      <c r="AY18" s="156"/>
      <c r="AZ18" s="157"/>
      <c r="BA18" s="158"/>
      <c r="BB18" s="157"/>
      <c r="BC18" s="157"/>
      <c r="BD18" s="157"/>
      <c r="BE18" s="158"/>
      <c r="BF18" s="157"/>
      <c r="BG18" s="156"/>
      <c r="BH18" s="154"/>
      <c r="BI18" s="154"/>
      <c r="BJ18" s="159"/>
      <c r="BK18" s="160"/>
      <c r="BL18" s="161"/>
    </row>
    <row r="19" spans="1:64" ht="15.75" customHeight="1" x14ac:dyDescent="0.15">
      <c r="A19" s="116" t="s">
        <v>59</v>
      </c>
      <c r="B19" s="117" t="s">
        <v>20</v>
      </c>
      <c r="C19" s="117" t="s">
        <v>19</v>
      </c>
      <c r="D19" s="117" t="s">
        <v>21</v>
      </c>
      <c r="E19" s="118" t="s">
        <v>182</v>
      </c>
      <c r="F19" s="117" t="s">
        <v>183</v>
      </c>
      <c r="G19" s="117" t="s">
        <v>184</v>
      </c>
      <c r="H19" s="118" t="s">
        <v>185</v>
      </c>
      <c r="I19" s="118" t="s">
        <v>186</v>
      </c>
      <c r="J19" s="120"/>
      <c r="K19" s="120"/>
      <c r="L19" s="120" t="s">
        <v>189</v>
      </c>
      <c r="M19" s="120" t="s">
        <v>190</v>
      </c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20"/>
      <c r="Z19" s="120"/>
      <c r="AA19" s="120" t="s">
        <v>198</v>
      </c>
      <c r="AB19" s="120" t="s">
        <v>199</v>
      </c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62"/>
      <c r="AN19" s="125" t="s">
        <v>205</v>
      </c>
      <c r="AO19" s="125" t="s">
        <v>206</v>
      </c>
      <c r="AP19" s="125" t="s">
        <v>207</v>
      </c>
      <c r="AQ19" s="124"/>
      <c r="AR19" s="117" t="s">
        <v>208</v>
      </c>
      <c r="AS19" s="117" t="s">
        <v>209</v>
      </c>
      <c r="AT19" s="117" t="s">
        <v>210</v>
      </c>
      <c r="AU19" s="118" t="s">
        <v>182</v>
      </c>
      <c r="AV19" s="126"/>
      <c r="AW19" s="118" t="s">
        <v>5</v>
      </c>
      <c r="AX19" s="117" t="s">
        <v>212</v>
      </c>
      <c r="AY19" s="126"/>
      <c r="AZ19" s="127" t="s">
        <v>213</v>
      </c>
      <c r="BA19" s="163" t="s">
        <v>214</v>
      </c>
      <c r="BB19" s="127" t="s">
        <v>215</v>
      </c>
      <c r="BC19" s="127" t="s">
        <v>216</v>
      </c>
      <c r="BD19" s="127" t="s">
        <v>217</v>
      </c>
      <c r="BE19" s="163" t="s">
        <v>218</v>
      </c>
      <c r="BF19" s="127" t="s">
        <v>219</v>
      </c>
      <c r="BG19" s="126"/>
      <c r="BH19" s="118" t="s">
        <v>220</v>
      </c>
      <c r="BI19" s="118" t="s">
        <v>221</v>
      </c>
      <c r="BJ19" s="129"/>
      <c r="BK19" s="130" t="s">
        <v>222</v>
      </c>
      <c r="BL19" s="131" t="s">
        <v>223</v>
      </c>
    </row>
    <row r="20" spans="1:64" ht="15.75" customHeight="1" x14ac:dyDescent="0.15">
      <c r="A20" s="132" t="s">
        <v>158</v>
      </c>
      <c r="B20" s="133">
        <f>SUM('Raw Values'!S20+'Raw Values'!T20)</f>
        <v>11.5</v>
      </c>
      <c r="C20" s="133">
        <f>SUM('Raw Values'!S20+'Raw Values'!U20)</f>
        <v>15</v>
      </c>
      <c r="D20" s="133">
        <f>SUM('Raw Values'!S20+'Raw Values'!U20+'Raw Values'!W20)</f>
        <v>42.57</v>
      </c>
      <c r="E20" s="134">
        <f t="shared" ref="E20:E26" si="37">SUM(B20/C20)</f>
        <v>0.76666666666666672</v>
      </c>
      <c r="F20" s="133">
        <f>SUM($B20+'Firing Inaccuracy(Crouching) Ra'!$AJ20)</f>
        <v>13.947663667024946</v>
      </c>
      <c r="G20" s="133">
        <f>SUM($C20+'Firing Inaccuracy(Standing) Raw'!$AJ20)</f>
        <v>18.876648212186868</v>
      </c>
      <c r="H20" s="133">
        <f>SUM($D20+'Firing Inaccuracy(Standing) Raw'!$M20)</f>
        <v>46.308353418396251</v>
      </c>
      <c r="I20" s="134">
        <f t="shared" ref="I20:I26" si="38">SUM(F20/G20)</f>
        <v>0.7388845472058041</v>
      </c>
      <c r="J20" s="165"/>
      <c r="K20" s="165"/>
      <c r="L20" s="165">
        <f>SUM(('Raw Values'!$AE20+(('Raw Values'!$AF20-'Raw Values'!$AE20)/3)))</f>
        <v>0.33157199999999998</v>
      </c>
      <c r="M20" s="165">
        <f>SUM(('Raw Values'!$AE20+(2*('Raw Values'!$AF20-'Raw Values'!$AE20)/3)))</f>
        <v>0.33157199999999998</v>
      </c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66"/>
      <c r="Z20" s="166"/>
      <c r="AA20" s="166">
        <f>SUM(('Raw Values'!$AC20+(('Raw Values'!$AD20-'Raw Values'!$AC20)/3)))</f>
        <v>0.23683699999999999</v>
      </c>
      <c r="AB20" s="166">
        <f>SUM(('Raw Values'!$AC20+(2*('Raw Values'!$AD20-'Raw Values'!$AC20)/3)))</f>
        <v>0.23683699999999999</v>
      </c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50"/>
      <c r="AN20" s="142">
        <f t="shared" ref="AN20:AP20" si="39">SUM(DEGREES(ATAN(B20/1000))*2)</f>
        <v>1.317744840264371</v>
      </c>
      <c r="AO20" s="142">
        <f t="shared" si="39"/>
        <v>1.7187444872893616</v>
      </c>
      <c r="AP20" s="142">
        <f t="shared" si="39"/>
        <v>4.8752191242341283</v>
      </c>
      <c r="AQ20" s="141"/>
      <c r="AR20" s="133">
        <f t="shared" ref="AR20:AT20" si="40">SUM((PI())*B20^2)</f>
        <v>415.47562843725012</v>
      </c>
      <c r="AS20" s="133">
        <f t="shared" si="40"/>
        <v>706.85834705770344</v>
      </c>
      <c r="AT20" s="133">
        <f t="shared" si="40"/>
        <v>5693.2096006394258</v>
      </c>
      <c r="AU20" s="134">
        <f t="shared" ref="AU20:AU26" si="41">SUM(AR20/AS20)</f>
        <v>0.58777777777777773</v>
      </c>
      <c r="AV20" s="141"/>
      <c r="AW20" s="134">
        <f>SUM('Raw Values'!B20/2)</f>
        <v>0.63</v>
      </c>
      <c r="AX20" s="133">
        <f>SUM((1-AW20)*'Raw Values'!C20 * 0.5)</f>
        <v>4.9950000000000001</v>
      </c>
      <c r="AY20" s="141"/>
      <c r="AZ20" s="143">
        <v>26</v>
      </c>
      <c r="BA20" s="144">
        <v>107</v>
      </c>
      <c r="BB20" s="143">
        <v>33</v>
      </c>
      <c r="BC20" s="143">
        <v>20</v>
      </c>
      <c r="BD20" s="143">
        <v>16</v>
      </c>
      <c r="BE20" s="144">
        <v>67</v>
      </c>
      <c r="BF20" s="143">
        <v>21</v>
      </c>
      <c r="BG20" s="141"/>
      <c r="BH20" s="145">
        <f>SUM(AZ20*(1/'Raw Values'!$F20))</f>
        <v>325</v>
      </c>
      <c r="BI20" s="145">
        <f t="shared" ref="BI20:BI26" si="42">SUM(BH20*AW20)</f>
        <v>204.75</v>
      </c>
      <c r="BJ20" s="129"/>
      <c r="BK20" s="146">
        <f>SUM(AZ20*'Raw Values'!J20)</f>
        <v>1664</v>
      </c>
      <c r="BL20" s="147">
        <f t="shared" ref="BL20:BL26" si="43">SUM(BK20*AW20)</f>
        <v>1048.32</v>
      </c>
    </row>
    <row r="21" spans="1:64" ht="15.75" customHeight="1" x14ac:dyDescent="0.15">
      <c r="A21" s="153" t="s">
        <v>160</v>
      </c>
      <c r="B21" s="133">
        <f>SUM('Raw Values'!S21+'Raw Values'!T21)</f>
        <v>10.58</v>
      </c>
      <c r="C21" s="133">
        <f>SUM('Raw Values'!S21+'Raw Values'!U21)</f>
        <v>13.9</v>
      </c>
      <c r="D21" s="133">
        <f>SUM('Raw Values'!S21+'Raw Values'!U21+'Raw Values'!W21)</f>
        <v>27.89</v>
      </c>
      <c r="E21" s="134">
        <f t="shared" si="37"/>
        <v>0.76115107913669067</v>
      </c>
      <c r="F21" s="133">
        <f>SUM($B21+'Firing Inaccuracy(Crouching) Ra'!$AJ21)</f>
        <v>16.308347672900041</v>
      </c>
      <c r="G21" s="133">
        <f>SUM($C21+'Firing Inaccuracy(Standing) Raw'!$AJ21)</f>
        <v>22.708627847287474</v>
      </c>
      <c r="H21" s="133">
        <f>SUM($D21+'Firing Inaccuracy(Standing) Raw'!$M21)</f>
        <v>36.039262494299138</v>
      </c>
      <c r="I21" s="134">
        <f t="shared" si="38"/>
        <v>0.7181564550078291</v>
      </c>
      <c r="J21" s="165"/>
      <c r="K21" s="165"/>
      <c r="L21" s="165">
        <f>SUM(('Raw Values'!$AE21+(('Raw Values'!$AF21-'Raw Values'!$AE21)/3)))</f>
        <v>0.399729</v>
      </c>
      <c r="M21" s="165">
        <f>SUM(('Raw Values'!$AE21+(2*('Raw Values'!$AF21-'Raw Values'!$AE21)/3)))</f>
        <v>0.399729</v>
      </c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66"/>
      <c r="Z21" s="166"/>
      <c r="AA21" s="166">
        <f>SUM(('Raw Values'!$AC21+(('Raw Values'!$AD21-'Raw Values'!$AC21)/3)))</f>
        <v>0.28552100000000002</v>
      </c>
      <c r="AB21" s="166">
        <f>SUM(('Raw Values'!$AC21+(2*('Raw Values'!$AD21-'Raw Values'!$AC21)/3)))</f>
        <v>0.28552100000000002</v>
      </c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50"/>
      <c r="AN21" s="142">
        <f t="shared" ref="AN21:AP21" si="44">SUM(DEGREES(ATAN(B21/1000))*2)</f>
        <v>1.212333461099242</v>
      </c>
      <c r="AO21" s="142">
        <f t="shared" si="44"/>
        <v>1.5927200992647081</v>
      </c>
      <c r="AP21" s="142">
        <f t="shared" si="44"/>
        <v>3.1951303067391073</v>
      </c>
      <c r="AQ21" s="141"/>
      <c r="AR21" s="133">
        <f t="shared" ref="AR21:AT21" si="45">SUM((PI())*B21^2)</f>
        <v>351.65857190928853</v>
      </c>
      <c r="AS21" s="133">
        <f t="shared" si="45"/>
        <v>606.98711660008394</v>
      </c>
      <c r="AT21" s="133">
        <f t="shared" si="45"/>
        <v>2443.6944429393934</v>
      </c>
      <c r="AU21" s="134">
        <f t="shared" si="41"/>
        <v>0.57935096527094876</v>
      </c>
      <c r="AV21" s="141"/>
      <c r="AW21" s="134">
        <f>SUM('Raw Values'!B21/2)</f>
        <v>0.57499999999999996</v>
      </c>
      <c r="AX21" s="133">
        <f>SUM((1-AW21)*'Raw Values'!C21 * 0.5)</f>
        <v>6.1625000000000005</v>
      </c>
      <c r="AY21" s="141"/>
      <c r="AZ21" s="143">
        <v>28</v>
      </c>
      <c r="BA21" s="144">
        <v>115</v>
      </c>
      <c r="BB21" s="143">
        <v>35</v>
      </c>
      <c r="BC21" s="143">
        <v>21</v>
      </c>
      <c r="BD21" s="143">
        <v>16</v>
      </c>
      <c r="BE21" s="144">
        <v>66</v>
      </c>
      <c r="BF21" s="143">
        <v>20</v>
      </c>
      <c r="BG21" s="141"/>
      <c r="BH21" s="145">
        <f>SUM(AZ21*(1/'Raw Values'!$F21))</f>
        <v>373.33333333333337</v>
      </c>
      <c r="BI21" s="145">
        <f t="shared" si="42"/>
        <v>214.66666666666669</v>
      </c>
      <c r="BJ21" s="129"/>
      <c r="BK21" s="146">
        <f>SUM(AZ21*'Raw Values'!J21)</f>
        <v>840</v>
      </c>
      <c r="BL21" s="147">
        <f t="shared" si="43"/>
        <v>482.99999999999994</v>
      </c>
    </row>
    <row r="22" spans="1:64" ht="15.75" customHeight="1" x14ac:dyDescent="0.15">
      <c r="A22" s="132" t="s">
        <v>161</v>
      </c>
      <c r="B22" s="133">
        <f>SUM('Raw Values'!S22+'Raw Values'!T22)</f>
        <v>6.52</v>
      </c>
      <c r="C22" s="133">
        <f>SUM('Raw Values'!S22+'Raw Values'!U22)</f>
        <v>10.6</v>
      </c>
      <c r="D22" s="133">
        <f>SUM('Raw Values'!S22+'Raw Values'!U22+'Raw Values'!W22)</f>
        <v>30.46</v>
      </c>
      <c r="E22" s="134">
        <f t="shared" si="37"/>
        <v>0.61509433962264148</v>
      </c>
      <c r="F22" s="133">
        <f>SUM($B22+'Firing Inaccuracy(Crouching) Ra'!$AJ22)</f>
        <v>9.2346903608268338</v>
      </c>
      <c r="G22" s="133">
        <f>SUM($C22+'Firing Inaccuracy(Standing) Raw'!$AJ22)</f>
        <v>14.763743483582463</v>
      </c>
      <c r="H22" s="133">
        <f>SUM($D22+'Firing Inaccuracy(Standing) Raw'!$M22)</f>
        <v>34.290858916649285</v>
      </c>
      <c r="I22" s="134">
        <f t="shared" si="38"/>
        <v>0.62549788751721191</v>
      </c>
      <c r="J22" s="165"/>
      <c r="K22" s="165"/>
      <c r="L22" s="165">
        <f>SUM(('Raw Values'!$AE22+(('Raw Values'!$AF22-'Raw Values'!$AE22)/3)))</f>
        <v>0.43749100000000002</v>
      </c>
      <c r="M22" s="165">
        <f>SUM(('Raw Values'!$AE22+(2*('Raw Values'!$AF22-'Raw Values'!$AE22)/3)))</f>
        <v>0.43749100000000002</v>
      </c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66"/>
      <c r="Z22" s="166"/>
      <c r="AA22" s="166">
        <f>SUM(('Raw Values'!$AC22+(('Raw Values'!$AD22-'Raw Values'!$AC22)/3)))</f>
        <v>0.31249399999999999</v>
      </c>
      <c r="AB22" s="166">
        <f>SUM(('Raw Values'!$AC22+(2*('Raw Values'!$AD22-'Raw Values'!$AC22)/3)))</f>
        <v>0.31249399999999999</v>
      </c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50"/>
      <c r="AN22" s="142">
        <f t="shared" ref="AN22:AP22" si="46">SUM(DEGREES(ATAN(B22/1000))*2)</f>
        <v>0.74712637809021043</v>
      </c>
      <c r="AO22" s="142">
        <f t="shared" si="46"/>
        <v>1.214625035283998</v>
      </c>
      <c r="AP22" s="142">
        <f t="shared" si="46"/>
        <v>3.4893799923985465</v>
      </c>
      <c r="AQ22" s="141"/>
      <c r="AR22" s="133">
        <f t="shared" ref="AR22:AT22" si="47">SUM((PI())*B22^2)</f>
        <v>133.55036034116353</v>
      </c>
      <c r="AS22" s="133">
        <f t="shared" si="47"/>
        <v>352.98935055734916</v>
      </c>
      <c r="AT22" s="133">
        <f t="shared" si="47"/>
        <v>2914.8061064753915</v>
      </c>
      <c r="AU22" s="134">
        <f t="shared" si="41"/>
        <v>0.37834104663581342</v>
      </c>
      <c r="AV22" s="141"/>
      <c r="AW22" s="134">
        <f>SUM('Raw Values'!B22/2)</f>
        <v>0.625</v>
      </c>
      <c r="AX22" s="133">
        <f>SUM((1-AW22)*'Raw Values'!C22 * 0.5)</f>
        <v>5.4375</v>
      </c>
      <c r="AY22" s="141"/>
      <c r="AZ22" s="143">
        <v>28</v>
      </c>
      <c r="BA22" s="144">
        <v>115</v>
      </c>
      <c r="BB22" s="143">
        <v>36</v>
      </c>
      <c r="BC22" s="143">
        <v>21</v>
      </c>
      <c r="BD22" s="143">
        <v>18</v>
      </c>
      <c r="BE22" s="144">
        <v>72</v>
      </c>
      <c r="BF22" s="143">
        <v>22</v>
      </c>
      <c r="BG22" s="141"/>
      <c r="BH22" s="145">
        <f>SUM(AZ22*(1/'Raw Values'!$F22))</f>
        <v>350</v>
      </c>
      <c r="BI22" s="145">
        <f t="shared" si="42"/>
        <v>218.75</v>
      </c>
      <c r="BJ22" s="129"/>
      <c r="BK22" s="146">
        <f>SUM(AZ22*'Raw Values'!J22)</f>
        <v>840</v>
      </c>
      <c r="BL22" s="147">
        <f t="shared" si="43"/>
        <v>525</v>
      </c>
    </row>
    <row r="23" spans="1:64" ht="15.75" customHeight="1" x14ac:dyDescent="0.15">
      <c r="A23" s="53" t="s">
        <v>162</v>
      </c>
      <c r="B23" s="133">
        <f>SUM('Raw Values'!S23+'Raw Values'!T23)</f>
        <v>6.52</v>
      </c>
      <c r="C23" s="133">
        <f>SUM('Raw Values'!S23+'Raw Values'!U23)</f>
        <v>10.6</v>
      </c>
      <c r="D23" s="133">
        <f>SUM('Raw Values'!S23+'Raw Values'!U23+'Raw Values'!W23)</f>
        <v>40.6</v>
      </c>
      <c r="E23" s="134">
        <f t="shared" si="37"/>
        <v>0.61509433962264148</v>
      </c>
      <c r="F23" s="133">
        <f>SUM($B23+'Firing Inaccuracy(Crouching) Ra'!$AJ23)</f>
        <v>9.2346903608268338</v>
      </c>
      <c r="G23" s="133">
        <f>SUM($C23+'Firing Inaccuracy(Standing) Raw'!$AJ23)</f>
        <v>14.763743483582463</v>
      </c>
      <c r="H23" s="133">
        <f>SUM($D23+'Firing Inaccuracy(Standing) Raw'!$M23)</f>
        <v>44.430858916649285</v>
      </c>
      <c r="I23" s="134">
        <f t="shared" si="38"/>
        <v>0.62549788751721191</v>
      </c>
      <c r="J23" s="165"/>
      <c r="K23" s="165"/>
      <c r="L23" s="165">
        <f>SUM(('Raw Values'!$AE23+(('Raw Values'!$AF23-'Raw Values'!$AE23)/3)))</f>
        <v>0.43749100000000002</v>
      </c>
      <c r="M23" s="165">
        <f>SUM(('Raw Values'!$AE23+(2*('Raw Values'!$AF23-'Raw Values'!$AE23)/3)))</f>
        <v>0.43749100000000002</v>
      </c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66"/>
      <c r="Z23" s="166"/>
      <c r="AA23" s="166">
        <f>SUM(('Raw Values'!$AC23+(('Raw Values'!$AD23-'Raw Values'!$AC23)/3)))</f>
        <v>0.31249399999999999</v>
      </c>
      <c r="AB23" s="166">
        <f>SUM(('Raw Values'!$AC23+(2*('Raw Values'!$AD23-'Raw Values'!$AC23)/3)))</f>
        <v>0.31249399999999999</v>
      </c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50"/>
      <c r="AN23" s="142">
        <f t="shared" ref="AN23:AP23" si="48">SUM(DEGREES(ATAN(B23/1000))*2)</f>
        <v>0.74712637809021043</v>
      </c>
      <c r="AO23" s="142">
        <f t="shared" si="48"/>
        <v>1.214625035283998</v>
      </c>
      <c r="AP23" s="142">
        <f t="shared" si="48"/>
        <v>4.6498635355057294</v>
      </c>
      <c r="AQ23" s="141"/>
      <c r="AR23" s="133">
        <f t="shared" ref="AR23:AT23" si="49">SUM((PI())*B23^2)</f>
        <v>133.55036034116353</v>
      </c>
      <c r="AS23" s="133">
        <f t="shared" si="49"/>
        <v>352.98935055734916</v>
      </c>
      <c r="AT23" s="133">
        <f t="shared" si="49"/>
        <v>5178.4756664712722</v>
      </c>
      <c r="AU23" s="134">
        <f t="shared" si="41"/>
        <v>0.37834104663581342</v>
      </c>
      <c r="AV23" s="141"/>
      <c r="AW23" s="134">
        <f>SUM('Raw Values'!B23/2)</f>
        <v>0.625</v>
      </c>
      <c r="AX23" s="133">
        <f>SUM((1-AW23)*'Raw Values'!C23 * 0.5)</f>
        <v>5.0625</v>
      </c>
      <c r="AY23" s="141"/>
      <c r="AZ23" s="143">
        <v>26</v>
      </c>
      <c r="BA23" s="144">
        <v>107</v>
      </c>
      <c r="BB23" s="143">
        <v>33</v>
      </c>
      <c r="BC23" s="143">
        <v>20</v>
      </c>
      <c r="BD23" s="143">
        <v>16</v>
      </c>
      <c r="BE23" s="144">
        <v>67</v>
      </c>
      <c r="BF23" s="143">
        <v>20</v>
      </c>
      <c r="BG23" s="141"/>
      <c r="BH23" s="145">
        <f>SUM(AZ23*(1/'Raw Values'!$F23))</f>
        <v>325</v>
      </c>
      <c r="BI23" s="145">
        <f t="shared" si="42"/>
        <v>203.125</v>
      </c>
      <c r="BJ23" s="129"/>
      <c r="BK23" s="146">
        <f>SUM(AZ23*'Raw Values'!J23)</f>
        <v>780</v>
      </c>
      <c r="BL23" s="147">
        <f t="shared" si="43"/>
        <v>487.5</v>
      </c>
    </row>
    <row r="24" spans="1:64" ht="15.75" customHeight="1" x14ac:dyDescent="0.15">
      <c r="A24" s="151" t="s">
        <v>163</v>
      </c>
      <c r="B24" s="133">
        <f>SUM('Raw Values'!S24+'Raw Values'!T24)</f>
        <v>6.1</v>
      </c>
      <c r="C24" s="133">
        <f>SUM('Raw Values'!S24+'Raw Values'!U24)</f>
        <v>9.6</v>
      </c>
      <c r="D24" s="133">
        <f>SUM('Raw Values'!S24+'Raw Values'!U24+'Raw Values'!W24)</f>
        <v>38.64</v>
      </c>
      <c r="E24" s="134">
        <f t="shared" si="37"/>
        <v>0.63541666666666663</v>
      </c>
      <c r="F24" s="133">
        <f>SUM($B24+'Firing Inaccuracy(Crouching) Ra'!$AJ24)</f>
        <v>8.7449861682129786</v>
      </c>
      <c r="G24" s="133">
        <f>SUM($C24+'Firing Inaccuracy(Standing) Raw'!$AJ24)</f>
        <v>13.861475655739039</v>
      </c>
      <c r="H24" s="133">
        <f>SUM($D24+'Firing Inaccuracy(Standing) Raw'!$M24)</f>
        <v>42.801254725893017</v>
      </c>
      <c r="I24" s="134">
        <f t="shared" si="38"/>
        <v>0.63088421358604119</v>
      </c>
      <c r="J24" s="165"/>
      <c r="K24" s="165"/>
      <c r="L24" s="165">
        <f>SUM(('Raw Values'!$AE24+(('Raw Values'!$AF24-'Raw Values'!$AE24)/3)))</f>
        <v>0.25789000000000001</v>
      </c>
      <c r="M24" s="165">
        <f>SUM(('Raw Values'!$AE24+(2*('Raw Values'!$AF24-'Raw Values'!$AE24)/3)))</f>
        <v>0.25789000000000001</v>
      </c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66"/>
      <c r="Z24" s="166"/>
      <c r="AA24" s="166">
        <f>SUM(('Raw Values'!$AC24+(('Raw Values'!$AD24-'Raw Values'!$AC24)/3)))</f>
        <v>0.18420700000000001</v>
      </c>
      <c r="AB24" s="166">
        <f>SUM(('Raw Values'!$AC24+(2*('Raw Values'!$AD24-'Raw Values'!$AC24)/3)))</f>
        <v>0.18420700000000001</v>
      </c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50"/>
      <c r="AN24" s="142">
        <f t="shared" ref="AN24:AP24" si="50">SUM(DEGREES(ATAN(B24/1000))*2)</f>
        <v>0.6989998402176133</v>
      </c>
      <c r="AO24" s="142">
        <f t="shared" si="50"/>
        <v>1.1000451740938986</v>
      </c>
      <c r="AP24" s="142">
        <f t="shared" si="50"/>
        <v>4.4256161622118748</v>
      </c>
      <c r="AQ24" s="141"/>
      <c r="AR24" s="133">
        <f t="shared" ref="AR24:AT24" si="51">SUM((PI())*B24^2)</f>
        <v>116.89866264007618</v>
      </c>
      <c r="AS24" s="133">
        <f t="shared" si="51"/>
        <v>289.52917895483534</v>
      </c>
      <c r="AT24" s="133">
        <f t="shared" si="51"/>
        <v>4690.5536548051796</v>
      </c>
      <c r="AU24" s="134">
        <f t="shared" si="41"/>
        <v>0.40375434027777768</v>
      </c>
      <c r="AV24" s="141"/>
      <c r="AW24" s="134">
        <f>SUM('Raw Values'!B24/2)</f>
        <v>0.6</v>
      </c>
      <c r="AX24" s="133">
        <f>SUM((1-AW24)*'Raw Values'!C24 * 0.5)</f>
        <v>5.2</v>
      </c>
      <c r="AY24" s="141"/>
      <c r="AZ24" s="143">
        <v>25</v>
      </c>
      <c r="BA24" s="144">
        <v>103</v>
      </c>
      <c r="BB24" s="143">
        <v>32</v>
      </c>
      <c r="BC24" s="143">
        <v>19</v>
      </c>
      <c r="BD24" s="143">
        <v>15</v>
      </c>
      <c r="BE24" s="144">
        <v>62</v>
      </c>
      <c r="BF24" s="143">
        <v>19</v>
      </c>
      <c r="BG24" s="141"/>
      <c r="BH24" s="145">
        <f>SUM(AZ24*(1/'Raw Values'!$F24))</f>
        <v>357.14285714285711</v>
      </c>
      <c r="BI24" s="145">
        <f t="shared" si="42"/>
        <v>214.28571428571425</v>
      </c>
      <c r="BJ24" s="129"/>
      <c r="BK24" s="146">
        <f>SUM(AZ24*'Raw Values'!J24)</f>
        <v>750</v>
      </c>
      <c r="BL24" s="147">
        <f t="shared" si="43"/>
        <v>450</v>
      </c>
    </row>
    <row r="25" spans="1:64" ht="15.75" customHeight="1" x14ac:dyDescent="0.15">
      <c r="A25" s="132" t="s">
        <v>164</v>
      </c>
      <c r="B25" s="133">
        <f>SUM('Raw Values'!S25+'Raw Values'!T25)</f>
        <v>11.24</v>
      </c>
      <c r="C25" s="133">
        <f>SUM('Raw Values'!S25+'Raw Values'!U25)</f>
        <v>14.65</v>
      </c>
      <c r="D25" s="133">
        <f>SUM('Raw Values'!S25+'Raw Values'!U25+'Raw Values'!W25)</f>
        <v>45.65</v>
      </c>
      <c r="E25" s="134">
        <f t="shared" si="37"/>
        <v>0.7672354948805461</v>
      </c>
      <c r="F25" s="133">
        <f>SUM($B25+'Firing Inaccuracy(Crouching) Ra'!$AJ25)</f>
        <v>14.657743224481864</v>
      </c>
      <c r="G25" s="133">
        <f>SUM($C25+'Firing Inaccuracy(Standing) Raw'!$AJ25)</f>
        <v>19.906971672597198</v>
      </c>
      <c r="H25" s="133">
        <f>SUM($D25+'Firing Inaccuracy(Standing) Raw'!$M25)</f>
        <v>50.516147162989149</v>
      </c>
      <c r="I25" s="134">
        <f t="shared" si="38"/>
        <v>0.73631205517104736</v>
      </c>
      <c r="J25" s="165"/>
      <c r="K25" s="165"/>
      <c r="L25" s="165">
        <f>SUM(('Raw Values'!$AE25+(('Raw Values'!$AF25-'Raw Values'!$AE25)/3)))</f>
        <v>0.37209799999999998</v>
      </c>
      <c r="M25" s="165">
        <f>SUM(('Raw Values'!$AE25+(2*('Raw Values'!$AF25-'Raw Values'!$AE25)/3)))</f>
        <v>0.37209799999999998</v>
      </c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66"/>
      <c r="Z25" s="166"/>
      <c r="AA25" s="166">
        <f>SUM(('Raw Values'!$AC25+(('Raw Values'!$AD25-'Raw Values'!$AC25)/3)))</f>
        <v>0.26578400000000002</v>
      </c>
      <c r="AB25" s="166">
        <f>SUM(('Raw Values'!$AC25+(2*('Raw Values'!$AD25-'Raw Values'!$AC25)/3)))</f>
        <v>0.26578400000000002</v>
      </c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50"/>
      <c r="AN25" s="142">
        <f t="shared" ref="AN25:AP25" si="52">SUM(DEGREES(ATAN(B25/1000))*2)</f>
        <v>1.287954886238206</v>
      </c>
      <c r="AO25" s="142">
        <f t="shared" si="52"/>
        <v>1.6786462548537666</v>
      </c>
      <c r="AP25" s="142">
        <f t="shared" si="52"/>
        <v>5.2274754673436021</v>
      </c>
      <c r="AQ25" s="141"/>
      <c r="AR25" s="133">
        <f t="shared" ref="AR25:AT25" si="53">SUM((PI())*B25^2)</f>
        <v>396.90127603216587</v>
      </c>
      <c r="AS25" s="133">
        <f t="shared" si="53"/>
        <v>674.25646929507536</v>
      </c>
      <c r="AT25" s="133">
        <f t="shared" si="53"/>
        <v>6546.8356166504745</v>
      </c>
      <c r="AU25" s="134">
        <f t="shared" si="41"/>
        <v>0.58865030460459644</v>
      </c>
      <c r="AV25" s="141"/>
      <c r="AW25" s="134">
        <f>SUM('Raw Values'!B25/2)</f>
        <v>0.69</v>
      </c>
      <c r="AX25" s="133">
        <f>SUM((1-AW25)*'Raw Values'!C25 * 0.5)</f>
        <v>4.0300000000000011</v>
      </c>
      <c r="AY25" s="141"/>
      <c r="AZ25" s="143">
        <v>25</v>
      </c>
      <c r="BA25" s="144">
        <v>103</v>
      </c>
      <c r="BB25" s="143">
        <v>32</v>
      </c>
      <c r="BC25" s="143">
        <v>19</v>
      </c>
      <c r="BD25" s="143">
        <v>17</v>
      </c>
      <c r="BE25" s="144">
        <v>71</v>
      </c>
      <c r="BF25" s="143">
        <v>22</v>
      </c>
      <c r="BG25" s="141"/>
      <c r="BH25" s="145">
        <f>SUM(AZ25*(1/'Raw Values'!$F25))</f>
        <v>357.14285714285711</v>
      </c>
      <c r="BI25" s="145">
        <f t="shared" si="42"/>
        <v>246.42857142857139</v>
      </c>
      <c r="BJ25" s="129"/>
      <c r="BK25" s="146">
        <f>SUM(AZ25*'Raw Values'!J25)</f>
        <v>1250</v>
      </c>
      <c r="BL25" s="147">
        <f t="shared" si="43"/>
        <v>862.49999999999989</v>
      </c>
    </row>
    <row r="26" spans="1:64" ht="15.75" customHeight="1" x14ac:dyDescent="0.15">
      <c r="A26" s="132" t="s">
        <v>165</v>
      </c>
      <c r="B26" s="133">
        <f>SUM('Raw Values'!S26+'Raw Values'!T26)</f>
        <v>11.07</v>
      </c>
      <c r="C26" s="133">
        <f>SUM('Raw Values'!S26+'Raw Values'!U26)</f>
        <v>14.43</v>
      </c>
      <c r="D26" s="133">
        <f>SUM('Raw Values'!S26+'Raw Values'!U26+'Raw Values'!W26)</f>
        <v>43.19</v>
      </c>
      <c r="E26" s="134">
        <f t="shared" si="37"/>
        <v>0.76715176715176714</v>
      </c>
      <c r="F26" s="133">
        <f>SUM($B26+'Firing Inaccuracy(Crouching) Ra'!$AE26)</f>
        <v>13.719302864655486</v>
      </c>
      <c r="G26" s="133">
        <f>SUM($C26+'Firing Inaccuracy(Standing) Raw'!$AE26)</f>
        <v>18.663770332278297</v>
      </c>
      <c r="H26" s="133">
        <f>SUM($D26+'Firing Inaccuracy(Standing) Raw'!$M26)</f>
        <v>47.302479109338002</v>
      </c>
      <c r="I26" s="134">
        <f t="shared" si="38"/>
        <v>0.73507670853238383</v>
      </c>
      <c r="J26" s="165"/>
      <c r="K26" s="165"/>
      <c r="L26" s="165">
        <f>SUM(('Raw Values'!$AE26+(('Raw Values'!$AF26-'Raw Values'!$AE26)/3)))</f>
        <v>0.349993</v>
      </c>
      <c r="M26" s="165">
        <f>SUM(('Raw Values'!$AE26+(2*('Raw Values'!$AF26-'Raw Values'!$AE26)/3)))</f>
        <v>0.349993</v>
      </c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66"/>
      <c r="Z26" s="166"/>
      <c r="AA26" s="166">
        <f>SUM(('Raw Values'!$AC26+(('Raw Values'!$AD26-'Raw Values'!$AC26)/3)))</f>
        <v>0.24999499999999999</v>
      </c>
      <c r="AB26" s="166">
        <f>SUM(('Raw Values'!$AC26+(2*('Raw Values'!$AD26-'Raw Values'!$AC26)/3)))</f>
        <v>0.24999499999999999</v>
      </c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50"/>
      <c r="AN26" s="142">
        <f t="shared" ref="AN26:AP26" si="54">SUM(DEGREES(ATAN(B26/1000))*2)</f>
        <v>1.268476744994159</v>
      </c>
      <c r="AO26" s="142">
        <f t="shared" si="54"/>
        <v>1.6534414405597013</v>
      </c>
      <c r="AP26" s="142">
        <f t="shared" si="54"/>
        <v>4.9461354950414673</v>
      </c>
      <c r="AQ26" s="141"/>
      <c r="AR26" s="133">
        <f t="shared" ref="AR26:AT26" si="55">SUM((PI())*B26^2)</f>
        <v>384.98615757489586</v>
      </c>
      <c r="AS26" s="133">
        <f t="shared" si="55"/>
        <v>654.15781613446927</v>
      </c>
      <c r="AT26" s="133">
        <f t="shared" si="55"/>
        <v>5860.2518519419782</v>
      </c>
      <c r="AU26" s="134">
        <f t="shared" si="41"/>
        <v>0.58852183384407919</v>
      </c>
      <c r="AV26" s="141"/>
      <c r="AW26" s="134">
        <f>SUM('Raw Values'!B26/2)</f>
        <v>0.65</v>
      </c>
      <c r="AX26" s="133">
        <f>SUM((1-AW26)*'Raw Values'!C26 * 0.5)</f>
        <v>6.125</v>
      </c>
      <c r="AY26" s="141"/>
      <c r="AZ26" s="143">
        <v>34</v>
      </c>
      <c r="BA26" s="144">
        <v>138</v>
      </c>
      <c r="BB26" s="143">
        <v>43</v>
      </c>
      <c r="BC26" s="143">
        <v>25</v>
      </c>
      <c r="BD26" s="143">
        <v>22</v>
      </c>
      <c r="BE26" s="144">
        <v>90</v>
      </c>
      <c r="BF26" s="143">
        <v>28</v>
      </c>
      <c r="BG26" s="141"/>
      <c r="BH26" s="145">
        <f>SUM(AZ26*(1/'Raw Values'!$F26))</f>
        <v>377.77777777777777</v>
      </c>
      <c r="BI26" s="145">
        <f t="shared" si="42"/>
        <v>245.55555555555557</v>
      </c>
      <c r="BJ26" s="129"/>
      <c r="BK26" s="146">
        <f>SUM(AZ26*'Raw Values'!J26)</f>
        <v>850</v>
      </c>
      <c r="BL26" s="147">
        <f t="shared" si="43"/>
        <v>552.5</v>
      </c>
    </row>
    <row r="27" spans="1:64" ht="15.75" customHeight="1" x14ac:dyDescent="0.15">
      <c r="A27" s="154"/>
      <c r="B27" s="155"/>
      <c r="C27" s="155"/>
      <c r="D27" s="155"/>
      <c r="E27" s="154"/>
      <c r="F27" s="155"/>
      <c r="G27" s="155"/>
      <c r="H27" s="154"/>
      <c r="I27" s="154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56"/>
      <c r="AN27" s="155"/>
      <c r="AO27" s="155"/>
      <c r="AP27" s="155"/>
      <c r="AQ27" s="156"/>
      <c r="AR27" s="155"/>
      <c r="AS27" s="155"/>
      <c r="AT27" s="155"/>
      <c r="AU27" s="154"/>
      <c r="AV27" s="156"/>
      <c r="AW27" s="154"/>
      <c r="AX27" s="155"/>
      <c r="AY27" s="156"/>
      <c r="AZ27" s="157"/>
      <c r="BA27" s="158"/>
      <c r="BB27" s="157"/>
      <c r="BC27" s="157"/>
      <c r="BD27" s="157"/>
      <c r="BE27" s="158"/>
      <c r="BF27" s="157"/>
      <c r="BG27" s="156"/>
      <c r="BH27" s="154"/>
      <c r="BI27" s="154"/>
      <c r="BJ27" s="159"/>
      <c r="BK27" s="160"/>
      <c r="BL27" s="161"/>
    </row>
    <row r="28" spans="1:64" ht="15.75" customHeight="1" x14ac:dyDescent="0.15">
      <c r="A28" s="116" t="s">
        <v>68</v>
      </c>
      <c r="B28" s="117" t="s">
        <v>20</v>
      </c>
      <c r="C28" s="117" t="s">
        <v>19</v>
      </c>
      <c r="D28" s="117" t="s">
        <v>21</v>
      </c>
      <c r="E28" s="118" t="s">
        <v>182</v>
      </c>
      <c r="F28" s="117" t="s">
        <v>183</v>
      </c>
      <c r="G28" s="117" t="s">
        <v>184</v>
      </c>
      <c r="H28" s="118" t="s">
        <v>185</v>
      </c>
      <c r="I28" s="118" t="s">
        <v>186</v>
      </c>
      <c r="J28" s="120"/>
      <c r="K28" s="120"/>
      <c r="L28" s="120" t="s">
        <v>189</v>
      </c>
      <c r="M28" s="120" t="s">
        <v>190</v>
      </c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20"/>
      <c r="Z28" s="120"/>
      <c r="AA28" s="120" t="s">
        <v>198</v>
      </c>
      <c r="AB28" s="120" t="s">
        <v>199</v>
      </c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62"/>
      <c r="AN28" s="125" t="s">
        <v>205</v>
      </c>
      <c r="AO28" s="125" t="s">
        <v>206</v>
      </c>
      <c r="AP28" s="125" t="s">
        <v>207</v>
      </c>
      <c r="AQ28" s="124"/>
      <c r="AR28" s="117" t="s">
        <v>208</v>
      </c>
      <c r="AS28" s="117" t="s">
        <v>209</v>
      </c>
      <c r="AT28" s="117" t="s">
        <v>210</v>
      </c>
      <c r="AU28" s="118" t="s">
        <v>182</v>
      </c>
      <c r="AV28" s="126"/>
      <c r="AW28" s="118" t="s">
        <v>5</v>
      </c>
      <c r="AX28" s="117" t="s">
        <v>212</v>
      </c>
      <c r="AY28" s="126"/>
      <c r="AZ28" s="127" t="s">
        <v>213</v>
      </c>
      <c r="BA28" s="163" t="s">
        <v>214</v>
      </c>
      <c r="BB28" s="127" t="s">
        <v>215</v>
      </c>
      <c r="BC28" s="127" t="s">
        <v>216</v>
      </c>
      <c r="BD28" s="127" t="s">
        <v>217</v>
      </c>
      <c r="BE28" s="163" t="s">
        <v>218</v>
      </c>
      <c r="BF28" s="127" t="s">
        <v>219</v>
      </c>
      <c r="BG28" s="126"/>
      <c r="BH28" s="118" t="s">
        <v>220</v>
      </c>
      <c r="BI28" s="118" t="s">
        <v>221</v>
      </c>
      <c r="BJ28" s="129"/>
      <c r="BK28" s="130" t="s">
        <v>222</v>
      </c>
      <c r="BL28" s="131" t="s">
        <v>223</v>
      </c>
    </row>
    <row r="29" spans="1:64" ht="15.75" customHeight="1" x14ac:dyDescent="0.15">
      <c r="A29" s="153" t="s">
        <v>166</v>
      </c>
      <c r="B29" s="133">
        <f>SUM('Raw Values'!S29+'Raw Values'!T29)</f>
        <v>5.4099999999999993</v>
      </c>
      <c r="C29" s="133">
        <f>SUM('Raw Values'!S29+'Raw Values'!U29)</f>
        <v>7.01</v>
      </c>
      <c r="D29" s="133">
        <f>SUM('Raw Values'!S29+'Raw Values'!U29+'Raw Values'!W29)</f>
        <v>182.07</v>
      </c>
      <c r="E29" s="134">
        <f t="shared" ref="E29:E35" si="56">SUM(B29/C29)</f>
        <v>0.77175463623395146</v>
      </c>
      <c r="F29" s="133">
        <f>SUM($B29+'Firing Inaccuracy(Crouching) Ra'!$AJ29)</f>
        <v>16.083077768863195</v>
      </c>
      <c r="G29" s="133">
        <f>SUM($C29+'Firing Inaccuracy(Standing) Raw'!$AJ29)</f>
        <v>20.545461038522433</v>
      </c>
      <c r="H29" s="133">
        <f>SUM($D29+'Firing Inaccuracy(Standing) Raw'!$M29)</f>
        <v>194.04782830190399</v>
      </c>
      <c r="I29" s="134">
        <f t="shared" ref="I29:I35" si="57">SUM(F29/G29)</f>
        <v>0.78280442277287743</v>
      </c>
      <c r="J29" s="165"/>
      <c r="K29" s="165"/>
      <c r="L29" s="165">
        <f>SUM(('Raw Values'!$AE29+(('Raw Values'!$AF29-'Raw Values'!$AE29)/3)))</f>
        <v>0.41399999999999998</v>
      </c>
      <c r="M29" s="165">
        <f>SUM(('Raw Values'!$AE29+(2*('Raw Values'!$AF29-'Raw Values'!$AE29)/3)))</f>
        <v>0.46</v>
      </c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66"/>
      <c r="Z29" s="166"/>
      <c r="AA29" s="166">
        <f>SUM(('Raw Values'!$AC29+(('Raw Values'!$AD29-'Raw Values'!$AC29)/3)))</f>
        <v>0.343414</v>
      </c>
      <c r="AB29" s="166">
        <f>SUM(('Raw Values'!$AC29+(2*('Raw Values'!$AD29-'Raw Values'!$AC29)/3)))</f>
        <v>0.38157099999999999</v>
      </c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50"/>
      <c r="AN29" s="142">
        <f t="shared" ref="AN29:AP29" si="58">SUM(DEGREES(ATAN(B29/1000))*2)</f>
        <v>0.61993428627919278</v>
      </c>
      <c r="AO29" s="142">
        <f t="shared" si="58"/>
        <v>0.80327367129631622</v>
      </c>
      <c r="AP29" s="142">
        <f t="shared" si="58"/>
        <v>20.637624537478573</v>
      </c>
      <c r="AQ29" s="141"/>
      <c r="AR29" s="133">
        <f t="shared" ref="AR29:AT29" si="59">SUM((PI())*B29^2)</f>
        <v>91.948447944531409</v>
      </c>
      <c r="AS29" s="133">
        <f t="shared" si="59"/>
        <v>154.37817715666779</v>
      </c>
      <c r="AT29" s="133">
        <f t="shared" si="59"/>
        <v>104142.17823212576</v>
      </c>
      <c r="AU29" s="134">
        <f t="shared" ref="AU29:AU35" si="60">SUM(AR29/AS29)</f>
        <v>0.59560521854859871</v>
      </c>
      <c r="AV29" s="141"/>
      <c r="AW29" s="134">
        <f>SUM('Raw Values'!B29/2)</f>
        <v>0.77500000000000002</v>
      </c>
      <c r="AX29" s="133">
        <f>SUM((1-AW29)*'Raw Values'!C29 * 0.5)</f>
        <v>4.05</v>
      </c>
      <c r="AY29" s="141"/>
      <c r="AZ29" s="143">
        <v>35</v>
      </c>
      <c r="BA29" s="144">
        <v>143</v>
      </c>
      <c r="BB29" s="143">
        <v>44</v>
      </c>
      <c r="BC29" s="143">
        <v>26</v>
      </c>
      <c r="BD29" s="143">
        <v>27</v>
      </c>
      <c r="BE29" s="144">
        <v>111</v>
      </c>
      <c r="BF29" s="143">
        <v>34</v>
      </c>
      <c r="BG29" s="141"/>
      <c r="BH29" s="145">
        <f>SUM(AZ29*(1/'Raw Values'!$F29))</f>
        <v>350</v>
      </c>
      <c r="BI29" s="145">
        <f t="shared" ref="BI29:BI35" si="61">SUM(BH29*AW29)</f>
        <v>271.25</v>
      </c>
      <c r="BJ29" s="129"/>
      <c r="BK29" s="146">
        <f>SUM(AZ29*'Raw Values'!J29)</f>
        <v>1050</v>
      </c>
      <c r="BL29" s="147">
        <f t="shared" ref="BL29:BL35" si="62">SUM(BK29*AW29)</f>
        <v>813.75</v>
      </c>
    </row>
    <row r="30" spans="1:64" ht="15.75" customHeight="1" x14ac:dyDescent="0.15">
      <c r="A30" s="151" t="s">
        <v>168</v>
      </c>
      <c r="B30" s="133">
        <f>SUM('Raw Values'!S30+'Raw Values'!T30)</f>
        <v>4.18</v>
      </c>
      <c r="C30" s="133">
        <f>SUM('Raw Values'!S30+'Raw Values'!U30)</f>
        <v>5.4</v>
      </c>
      <c r="D30" s="133">
        <f>SUM('Raw Values'!S30+'Raw Values'!U30+'Raw Values'!W30)</f>
        <v>140.85</v>
      </c>
      <c r="E30" s="134">
        <f t="shared" si="56"/>
        <v>0.77407407407407403</v>
      </c>
      <c r="F30" s="133">
        <f>SUM($B30+'Firing Inaccuracy(Crouching) Ra'!$AJ30)</f>
        <v>10.661356404522099</v>
      </c>
      <c r="G30" s="133">
        <f>SUM($C30+'Firing Inaccuracy(Standing) Raw'!$AJ30)</f>
        <v>15.684150776259337</v>
      </c>
      <c r="H30" s="133">
        <f>SUM($D30+'Firing Inaccuracy(Standing) Raw'!$M30)</f>
        <v>150.72116860952372</v>
      </c>
      <c r="I30" s="134">
        <f t="shared" si="57"/>
        <v>0.67975350126446743</v>
      </c>
      <c r="J30" s="165"/>
      <c r="K30" s="165"/>
      <c r="L30" s="165">
        <f>SUM(('Raw Values'!$AE30+(('Raw Values'!$AF30-'Raw Values'!$AE30)/3)))</f>
        <v>0.42972700000000003</v>
      </c>
      <c r="M30" s="165">
        <f>SUM(('Raw Values'!$AE30+(2*('Raw Values'!$AF30-'Raw Values'!$AE30)/3)))</f>
        <v>0.42972700000000003</v>
      </c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66"/>
      <c r="Z30" s="166"/>
      <c r="AA30" s="166">
        <f>SUM(('Raw Values'!$AC30+(('Raw Values'!$AD30-'Raw Values'!$AC30)/3)))</f>
        <v>0.30552000000000001</v>
      </c>
      <c r="AB30" s="166">
        <f>SUM(('Raw Values'!$AC30+(2*('Raw Values'!$AD30-'Raw Values'!$AC30)/3)))</f>
        <v>0.30552000000000001</v>
      </c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50"/>
      <c r="AN30" s="142">
        <f t="shared" ref="AN30:AP30" si="63">SUM(DEGREES(ATAN(B30/1000))*2)</f>
        <v>0.47898992704116572</v>
      </c>
      <c r="AO30" s="142">
        <f t="shared" si="63"/>
        <v>0.61878840416476966</v>
      </c>
      <c r="AP30" s="142">
        <f t="shared" si="63"/>
        <v>16.034740047000042</v>
      </c>
      <c r="AQ30" s="141"/>
      <c r="AR30" s="133">
        <f t="shared" ref="AR30:AT30" si="64">SUM((PI())*B30^2)</f>
        <v>54.891163480582293</v>
      </c>
      <c r="AS30" s="133">
        <f t="shared" si="64"/>
        <v>91.608841778678382</v>
      </c>
      <c r="AT30" s="133">
        <f t="shared" si="64"/>
        <v>62325.184862606533</v>
      </c>
      <c r="AU30" s="134">
        <f t="shared" si="60"/>
        <v>0.59919067215363497</v>
      </c>
      <c r="AV30" s="141"/>
      <c r="AW30" s="134">
        <f>SUM('Raw Values'!B30/2)</f>
        <v>0.9</v>
      </c>
      <c r="AX30" s="133">
        <f>SUM((1-AW30)*'Raw Values'!C30 * 0.5)</f>
        <v>1.3999999999999997</v>
      </c>
      <c r="AY30" s="141"/>
      <c r="AZ30" s="143">
        <v>27</v>
      </c>
      <c r="BA30" s="144">
        <v>111</v>
      </c>
      <c r="BB30" s="143">
        <v>34</v>
      </c>
      <c r="BC30" s="143">
        <v>20</v>
      </c>
      <c r="BD30" s="143">
        <v>25</v>
      </c>
      <c r="BE30" s="144">
        <v>100</v>
      </c>
      <c r="BF30" s="143">
        <v>31</v>
      </c>
      <c r="BG30" s="141"/>
      <c r="BH30" s="145">
        <f>SUM(AZ30*(1/'Raw Values'!$F30))</f>
        <v>270</v>
      </c>
      <c r="BI30" s="145">
        <f t="shared" si="61"/>
        <v>243</v>
      </c>
      <c r="BJ30" s="129"/>
      <c r="BK30" s="146">
        <f>SUM(AZ30*'Raw Values'!J30)</f>
        <v>810</v>
      </c>
      <c r="BL30" s="147">
        <f t="shared" si="62"/>
        <v>729</v>
      </c>
    </row>
    <row r="31" spans="1:64" ht="15.75" customHeight="1" x14ac:dyDescent="0.15">
      <c r="A31" s="151" t="s">
        <v>169</v>
      </c>
      <c r="B31" s="133">
        <f>SUM('Raw Values'!S31+'Raw Values'!T31)</f>
        <v>7.9899999999999993</v>
      </c>
      <c r="C31" s="133">
        <f>SUM('Raw Values'!S31+'Raw Values'!U31)</f>
        <v>10.45</v>
      </c>
      <c r="D31" s="133">
        <f>SUM('Raw Values'!S31+'Raw Values'!U31+'Raw Values'!W31)</f>
        <v>109.79</v>
      </c>
      <c r="E31" s="134">
        <f t="shared" si="56"/>
        <v>0.76459330143540671</v>
      </c>
      <c r="F31" s="133">
        <f>SUM($B31+'Firing Inaccuracy(Crouching) Ra'!$AE31)</f>
        <v>19.194149279143435</v>
      </c>
      <c r="G31" s="133">
        <f>SUM($C31+'Firing Inaccuracy(Standing) Raw'!$AE31)</f>
        <v>22.229256448432199</v>
      </c>
      <c r="H31" s="133">
        <f>SUM($D31+'Firing Inaccuracy(Standing) Raw'!$M31)</f>
        <v>119.4374813529156</v>
      </c>
      <c r="I31" s="134">
        <f t="shared" si="57"/>
        <v>0.86346339670291461</v>
      </c>
      <c r="J31" s="165"/>
      <c r="K31" s="165"/>
      <c r="L31" s="165">
        <f>SUM(('Raw Values'!$AE31+(('Raw Values'!$AF31-'Raw Values'!$AE31)/3)))</f>
        <v>0.33333333333333331</v>
      </c>
      <c r="M31" s="165">
        <f>SUM(('Raw Values'!$AE31+(2*('Raw Values'!$AF31-'Raw Values'!$AE31)/3)))</f>
        <v>0.41666666666666663</v>
      </c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66"/>
      <c r="Z31" s="166"/>
      <c r="AA31" s="166">
        <f>SUM(('Raw Values'!$AC31+(('Raw Values'!$AD31-'Raw Values'!$AC31)/3)))</f>
        <v>0.24</v>
      </c>
      <c r="AB31" s="166">
        <f>SUM(('Raw Values'!$AC31+(2*('Raw Values'!$AD31-'Raw Values'!$AC31)/3)))</f>
        <v>0.36</v>
      </c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50"/>
      <c r="AN31" s="142">
        <f t="shared" ref="AN31:AP31" si="65">SUM(DEGREES(ATAN(B31/1000))*2)</f>
        <v>0.91556707365288215</v>
      </c>
      <c r="AO31" s="142">
        <f t="shared" si="65"/>
        <v>1.1974382053441124</v>
      </c>
      <c r="AP31" s="142">
        <f t="shared" si="65"/>
        <v>12.530819905486441</v>
      </c>
      <c r="AQ31" s="141"/>
      <c r="AR31" s="133">
        <f t="shared" ref="AR31:AT31" si="66">SUM((PI())*B31^2)</f>
        <v>200.55958916443774</v>
      </c>
      <c r="AS31" s="133">
        <f t="shared" si="66"/>
        <v>343.06977175363932</v>
      </c>
      <c r="AT31" s="133">
        <f t="shared" si="66"/>
        <v>37868.26807207668</v>
      </c>
      <c r="AU31" s="134">
        <f t="shared" si="60"/>
        <v>0.58460291659989472</v>
      </c>
      <c r="AV31" s="141"/>
      <c r="AW31" s="134">
        <f>SUM('Raw Values'!B31/2)</f>
        <v>0.7</v>
      </c>
      <c r="AX31" s="133">
        <f>SUM((1-AW31)*'Raw Values'!C31 * 0.5)</f>
        <v>4.5000000000000009</v>
      </c>
      <c r="AY31" s="141"/>
      <c r="AZ31" s="143">
        <v>29</v>
      </c>
      <c r="BA31" s="144">
        <v>119</v>
      </c>
      <c r="BB31" s="143">
        <v>37</v>
      </c>
      <c r="BC31" s="143">
        <v>22</v>
      </c>
      <c r="BD31" s="143">
        <v>20</v>
      </c>
      <c r="BE31" s="144">
        <v>83</v>
      </c>
      <c r="BF31" s="143">
        <v>26</v>
      </c>
      <c r="BG31" s="141"/>
      <c r="BH31" s="145">
        <f>SUM(AZ31*(1/'Raw Values'!$F31))</f>
        <v>322.22222222222223</v>
      </c>
      <c r="BI31" s="145">
        <f t="shared" si="61"/>
        <v>225.55555555555554</v>
      </c>
      <c r="BJ31" s="129"/>
      <c r="BK31" s="146">
        <f>SUM(AZ31*'Raw Values'!J31)</f>
        <v>725</v>
      </c>
      <c r="BL31" s="147">
        <f t="shared" si="62"/>
        <v>507.49999999999994</v>
      </c>
    </row>
    <row r="32" spans="1:64" ht="15.75" customHeight="1" x14ac:dyDescent="0.15">
      <c r="A32" s="153" t="s">
        <v>170</v>
      </c>
      <c r="B32" s="133">
        <f>SUM('Raw Values'!S32+'Raw Values'!T32)</f>
        <v>7.18</v>
      </c>
      <c r="C32" s="133">
        <f>SUM('Raw Values'!S32+'Raw Values'!U32)</f>
        <v>9.3699999999999992</v>
      </c>
      <c r="D32" s="133">
        <f>SUM('Raw Values'!S32+'Raw Values'!U32+'Raw Values'!W32)</f>
        <v>132.93</v>
      </c>
      <c r="E32" s="134">
        <f t="shared" si="56"/>
        <v>0.76627534685165422</v>
      </c>
      <c r="F32" s="133">
        <f>SUM($B32+'Firing Inaccuracy(Crouching) Ra'!$AJ32)</f>
        <v>19.812146437207264</v>
      </c>
      <c r="G32" s="133">
        <f>SUM($C32+'Firing Inaccuracy(Standing) Raw'!$AE32)</f>
        <v>22.999063447835514</v>
      </c>
      <c r="H32" s="133">
        <f>SUM($D32+'Firing Inaccuracy(Standing) Raw'!$M32)</f>
        <v>144.39073695977638</v>
      </c>
      <c r="I32" s="134">
        <f t="shared" si="57"/>
        <v>0.86143274843097251</v>
      </c>
      <c r="J32" s="165"/>
      <c r="K32" s="165"/>
      <c r="L32" s="165">
        <f>SUM(('Raw Values'!$AE32+(('Raw Values'!$AF32-'Raw Values'!$AE32)/3)))</f>
        <v>0.36666666666666664</v>
      </c>
      <c r="M32" s="165">
        <f>SUM(('Raw Values'!$AE32+(2*('Raw Values'!$AF32-'Raw Values'!$AE32)/3)))</f>
        <v>0.43333333333333335</v>
      </c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66"/>
      <c r="Z32" s="166"/>
      <c r="AA32" s="166">
        <f>SUM(('Raw Values'!$AC32+(('Raw Values'!$AD32-'Raw Values'!$AC32)/3)))</f>
        <v>0.25666666666666665</v>
      </c>
      <c r="AB32" s="166">
        <f>SUM(('Raw Values'!$AC32+(2*('Raw Values'!$AD32-'Raw Values'!$AC32)/3)))</f>
        <v>0.36333333333333329</v>
      </c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50"/>
      <c r="AN32" s="142">
        <f t="shared" ref="AN32:AP32" si="67">SUM(DEGREES(ATAN(B32/1000))*2)</f>
        <v>0.822753255700574</v>
      </c>
      <c r="AO32" s="142">
        <f t="shared" si="67"/>
        <v>1.0736914865494442</v>
      </c>
      <c r="AP32" s="142">
        <f t="shared" si="67"/>
        <v>15.143873056210277</v>
      </c>
      <c r="AQ32" s="141"/>
      <c r="AR32" s="133">
        <f t="shared" ref="AR32:AT32" si="68">SUM((PI())*B32^2)</f>
        <v>161.95664111492243</v>
      </c>
      <c r="AS32" s="133">
        <f t="shared" si="68"/>
        <v>275.82209604795764</v>
      </c>
      <c r="AT32" s="133">
        <f t="shared" si="68"/>
        <v>55513.151387944017</v>
      </c>
      <c r="AU32" s="134">
        <f t="shared" si="60"/>
        <v>0.58717790719262308</v>
      </c>
      <c r="AV32" s="141"/>
      <c r="AW32" s="134">
        <f>SUM('Raw Values'!B32/2)</f>
        <v>0.77500000000000002</v>
      </c>
      <c r="AX32" s="133">
        <f>SUM((1-AW32)*'Raw Values'!C32 * 0.5)</f>
        <v>3.3749999999999996</v>
      </c>
      <c r="AY32" s="141"/>
      <c r="AZ32" s="143">
        <v>29</v>
      </c>
      <c r="BA32" s="144">
        <v>119</v>
      </c>
      <c r="BB32" s="143">
        <v>37</v>
      </c>
      <c r="BC32" s="143">
        <v>22</v>
      </c>
      <c r="BD32" s="143">
        <v>23</v>
      </c>
      <c r="BE32" s="144">
        <v>92</v>
      </c>
      <c r="BF32" s="143">
        <v>29</v>
      </c>
      <c r="BG32" s="141"/>
      <c r="BH32" s="145">
        <f>SUM(AZ32*(1/'Raw Values'!$F32))</f>
        <v>322.22222222222223</v>
      </c>
      <c r="BI32" s="145">
        <f t="shared" si="61"/>
        <v>249.72222222222223</v>
      </c>
      <c r="BJ32" s="129"/>
      <c r="BK32" s="146">
        <f>SUM(AZ32*'Raw Values'!J32)</f>
        <v>1015</v>
      </c>
      <c r="BL32" s="147">
        <f t="shared" si="62"/>
        <v>786.625</v>
      </c>
    </row>
    <row r="33" spans="1:64" ht="15.75" customHeight="1" x14ac:dyDescent="0.15">
      <c r="A33" s="151" t="s">
        <v>171</v>
      </c>
      <c r="B33" s="133">
        <f>SUM('Raw Values'!S33+'Raw Values'!T33)</f>
        <v>4.6999999999999993</v>
      </c>
      <c r="C33" s="133">
        <f>SUM('Raw Values'!S33+'Raw Values'!U33)</f>
        <v>5.5</v>
      </c>
      <c r="D33" s="133">
        <f>SUM('Raw Values'!S33+'Raw Values'!U33+'Raw Values'!W33)</f>
        <v>143.38</v>
      </c>
      <c r="E33" s="134">
        <f t="shared" si="56"/>
        <v>0.85454545454545439</v>
      </c>
      <c r="F33" s="133">
        <f>SUM($B33+'Firing Inaccuracy(Crouching) Ra'!$AJ33)</f>
        <v>12.805261747992231</v>
      </c>
      <c r="G33" s="168">
        <f>SUM($C33+'Firing Inaccuracy(Standing) Raw'!$AJ33)</f>
        <v>18.000730653512612</v>
      </c>
      <c r="H33" s="133">
        <f>SUM($D33+'Firing Inaccuracy(Standing) Raw'!$M33)</f>
        <v>154.38913613651903</v>
      </c>
      <c r="I33" s="134">
        <f t="shared" si="57"/>
        <v>0.71137455442640318</v>
      </c>
      <c r="J33" s="166"/>
      <c r="K33" s="166"/>
      <c r="L33" s="166">
        <f>SUM(('Raw Values'!$AE33+(('Raw Values'!$AF33-'Raw Values'!$AE33)/3)))</f>
        <v>0.38130866666666668</v>
      </c>
      <c r="M33" s="166">
        <f>SUM(('Raw Values'!$AE33+(2*('Raw Values'!$AF33-'Raw Values'!$AE33)/3)))</f>
        <v>0.42367633333333332</v>
      </c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6"/>
      <c r="Z33" s="166"/>
      <c r="AA33" s="166">
        <f>SUM(('Raw Values'!$AC33+(('Raw Values'!$AD33-'Raw Values'!$AC33)/3)))</f>
        <v>0.2723626666666667</v>
      </c>
      <c r="AB33" s="166">
        <f>SUM(('Raw Values'!$AC33+(2*('Raw Values'!$AD33-'Raw Values'!$AC33)/3)))</f>
        <v>0.30262533333333336</v>
      </c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50"/>
      <c r="AN33" s="142">
        <f t="shared" ref="AN33:AP33" si="69">SUM(DEGREES(ATAN(B33/1000))*2)</f>
        <v>0.53857636172905732</v>
      </c>
      <c r="AO33" s="142">
        <f t="shared" si="69"/>
        <v>0.63024721970236963</v>
      </c>
      <c r="AP33" s="142">
        <f t="shared" si="69"/>
        <v>16.318917120270399</v>
      </c>
      <c r="AQ33" s="141"/>
      <c r="AR33" s="133">
        <f t="shared" ref="AR33:AT33" si="70">SUM((PI())*B33^2)</f>
        <v>69.397781717798509</v>
      </c>
      <c r="AS33" s="133">
        <f t="shared" si="70"/>
        <v>95.033177771091246</v>
      </c>
      <c r="AT33" s="133">
        <f t="shared" si="70"/>
        <v>64584.310108828991</v>
      </c>
      <c r="AU33" s="134">
        <f t="shared" si="60"/>
        <v>0.73024793388429732</v>
      </c>
      <c r="AV33" s="141"/>
      <c r="AW33" s="134">
        <f>SUM('Raw Values'!B33/2)</f>
        <v>0.7</v>
      </c>
      <c r="AX33" s="133">
        <f>SUM((1-AW33)*'Raw Values'!C33 * 0.5)</f>
        <v>4.9500000000000011</v>
      </c>
      <c r="AY33" s="141"/>
      <c r="AZ33" s="143">
        <v>32</v>
      </c>
      <c r="BA33" s="144">
        <v>131</v>
      </c>
      <c r="BB33" s="143">
        <v>41</v>
      </c>
      <c r="BC33" s="143">
        <v>24</v>
      </c>
      <c r="BD33" s="143">
        <v>23</v>
      </c>
      <c r="BE33" s="144">
        <v>92</v>
      </c>
      <c r="BF33" s="143">
        <v>28</v>
      </c>
      <c r="BG33" s="141"/>
      <c r="BH33" s="145">
        <f>SUM(AZ33*(1/'Raw Values'!$F33))</f>
        <v>355.55555555555554</v>
      </c>
      <c r="BI33" s="145">
        <f t="shared" si="61"/>
        <v>248.88888888888886</v>
      </c>
      <c r="BJ33" s="129"/>
      <c r="BK33" s="146">
        <f>SUM(AZ33*'Raw Values'!J33)</f>
        <v>960</v>
      </c>
      <c r="BL33" s="147">
        <f t="shared" si="62"/>
        <v>672</v>
      </c>
    </row>
    <row r="34" spans="1:64" ht="15.75" customHeight="1" x14ac:dyDescent="0.15">
      <c r="A34" s="151" t="s">
        <v>172</v>
      </c>
      <c r="B34" s="133">
        <f>SUM('Raw Values'!AJ34+'Raw Values'!AK34)</f>
        <v>4.5999999999999996</v>
      </c>
      <c r="C34" s="133">
        <f>SUM('Raw Values'!AJ34+'Raw Values'!AL34)</f>
        <v>5.4</v>
      </c>
      <c r="D34" s="133">
        <f>SUM('Raw Values'!S34+'Raw Values'!U34+'Raw Values'!AN34)</f>
        <v>127.5</v>
      </c>
      <c r="E34" s="134">
        <f t="shared" si="56"/>
        <v>0.85185185185185175</v>
      </c>
      <c r="F34" s="133">
        <f>SUM($B34+'Firing Inaccuracy(Crouching) Ra'!$Z34)</f>
        <v>11.620260003686282</v>
      </c>
      <c r="G34" s="169">
        <f>SUM($C34+'Firing Inaccuracy(Standing) Raw'!$Z34)</f>
        <v>16.353270152272756</v>
      </c>
      <c r="H34" s="133">
        <f>SUM($D34+'Firing Inaccuracy(Standing) Raw'!$M34)</f>
        <v>137.34947651339829</v>
      </c>
      <c r="I34" s="134">
        <f t="shared" si="57"/>
        <v>0.71057714423382856</v>
      </c>
      <c r="J34" s="166"/>
      <c r="K34" s="166"/>
      <c r="L34" s="166">
        <f>SUM(('Raw Values'!$AE34+(('Raw Values'!$AF34-'Raw Values'!$AE34)/3)))</f>
        <v>0.38130866666666668</v>
      </c>
      <c r="M34" s="166">
        <f>SUM(('Raw Values'!$AE34+(2*('Raw Values'!$AF34-'Raw Values'!$AE34)/3)))</f>
        <v>0.42367633333333332</v>
      </c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5"/>
      <c r="Z34" s="165"/>
      <c r="AA34" s="165">
        <f>SUM(('Raw Values'!$AC34+(('Raw Values'!$AD34-'Raw Values'!$AC34)/3)))</f>
        <v>0.2723626666666667</v>
      </c>
      <c r="AB34" s="166">
        <f>SUM(('Raw Values'!$AC34+(2*('Raw Values'!$AD34-'Raw Values'!$AC34)/3)))</f>
        <v>0.30262533333333336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50"/>
      <c r="AN34" s="142">
        <f t="shared" ref="AN34:AP34" si="71">SUM(DEGREES(ATAN(B34/1000))*2)</f>
        <v>0.52711745360623008</v>
      </c>
      <c r="AO34" s="142">
        <f t="shared" si="71"/>
        <v>0.61878840416476966</v>
      </c>
      <c r="AP34" s="142">
        <f t="shared" si="71"/>
        <v>14.532016893991992</v>
      </c>
      <c r="AQ34" s="141"/>
      <c r="AR34" s="133">
        <f t="shared" ref="AR34:AT34" si="72">SUM((PI())*B34^2)</f>
        <v>66.476100549960009</v>
      </c>
      <c r="AS34" s="133">
        <f t="shared" si="72"/>
        <v>91.608841778678382</v>
      </c>
      <c r="AT34" s="133">
        <f t="shared" si="72"/>
        <v>51070.515574919074</v>
      </c>
      <c r="AU34" s="134">
        <f t="shared" si="60"/>
        <v>0.72565157750342912</v>
      </c>
      <c r="AV34" s="141"/>
      <c r="AW34" s="134">
        <f>SUM('Raw Values'!B34/2)</f>
        <v>0.7</v>
      </c>
      <c r="AX34" s="133">
        <f>SUM((1-AW34)*'Raw Values'!C34 * 0.5)</f>
        <v>5.7000000000000011</v>
      </c>
      <c r="AY34" s="141"/>
      <c r="AZ34" s="143">
        <v>37</v>
      </c>
      <c r="BA34" s="144">
        <v>132</v>
      </c>
      <c r="BB34" s="143">
        <v>47</v>
      </c>
      <c r="BC34" s="143">
        <v>28</v>
      </c>
      <c r="BD34" s="143">
        <v>26</v>
      </c>
      <c r="BE34" s="144">
        <v>92</v>
      </c>
      <c r="BF34" s="143">
        <v>33</v>
      </c>
      <c r="BG34" s="141"/>
      <c r="BH34" s="145">
        <f>SUM(AZ34*(1/'Raw Values'!$F34))</f>
        <v>370</v>
      </c>
      <c r="BI34" s="145">
        <f t="shared" si="61"/>
        <v>259</v>
      </c>
      <c r="BJ34" s="129"/>
      <c r="BK34" s="146">
        <f>SUM(AZ34*'Raw Values'!J34)</f>
        <v>925</v>
      </c>
      <c r="BL34" s="147">
        <f t="shared" si="62"/>
        <v>647.5</v>
      </c>
    </row>
    <row r="35" spans="1:64" ht="15.75" customHeight="1" x14ac:dyDescent="0.15">
      <c r="A35" s="153" t="s">
        <v>173</v>
      </c>
      <c r="B35" s="133">
        <f>SUM('Raw Values'!S35+'Raw Values'!T35)</f>
        <v>4.41</v>
      </c>
      <c r="C35" s="133">
        <f>SUM('Raw Values'!S35+'Raw Values'!U35)</f>
        <v>6.4099999999999993</v>
      </c>
      <c r="D35" s="133">
        <f>SUM('Raw Values'!S35+'Raw Values'!U35+'Raw Values'!W35)</f>
        <v>142.41999999999999</v>
      </c>
      <c r="E35" s="134">
        <f t="shared" si="56"/>
        <v>0.68798751950078019</v>
      </c>
      <c r="F35" s="133">
        <f>SUM($B35+'Firing Inaccuracy(Crouching) Ra'!$AJ35)</f>
        <v>12.776573574713943</v>
      </c>
      <c r="G35" s="133">
        <f>SUM($C35+'Firing Inaccuracy(Standing) Raw'!$AJ35)</f>
        <v>17.018622189604947</v>
      </c>
      <c r="H35" s="133">
        <f>SUM($D35+'Firing Inaccuracy(Standing) Raw'!$M35)</f>
        <v>152.65850648668504</v>
      </c>
      <c r="I35" s="134">
        <f t="shared" si="57"/>
        <v>0.75074077280579932</v>
      </c>
      <c r="J35" s="165"/>
      <c r="K35" s="165"/>
      <c r="L35" s="165">
        <f>SUM(('Raw Values'!$AE35+(('Raw Values'!$AF35-'Raw Values'!$AE35)/3)))</f>
        <v>0.45288600000000001</v>
      </c>
      <c r="M35" s="165">
        <f>SUM(('Raw Values'!$AE35+(2*('Raw Values'!$AF35-'Raw Values'!$AE35)/3)))</f>
        <v>0.45288600000000001</v>
      </c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66"/>
      <c r="Z35" s="166"/>
      <c r="AA35" s="166">
        <f>SUM(('Raw Values'!$AC35+(('Raw Values'!$AD35-'Raw Values'!$AC35)/3)))</f>
        <v>0.37920399999999999</v>
      </c>
      <c r="AB35" s="166">
        <f>SUM(('Raw Values'!$AC35+(2*('Raw Values'!$AD35-'Raw Values'!$AC35)/3)))</f>
        <v>0.37920399999999999</v>
      </c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50"/>
      <c r="AN35" s="142">
        <f t="shared" ref="AN35:AP35" si="73">SUM(DEGREES(ATAN(B35/1000))*2)</f>
        <v>0.50534549931910733</v>
      </c>
      <c r="AO35" s="142">
        <f t="shared" si="73"/>
        <v>0.73452183343242428</v>
      </c>
      <c r="AP35" s="142">
        <f t="shared" si="73"/>
        <v>16.211110682874327</v>
      </c>
      <c r="AQ35" s="141"/>
      <c r="AR35" s="133">
        <f t="shared" ref="AR35:AT35" si="74">SUM((PI())*B35^2)</f>
        <v>61.098008086279656</v>
      </c>
      <c r="AS35" s="133">
        <f t="shared" si="74"/>
        <v>129.08207310996275</v>
      </c>
      <c r="AT35" s="133">
        <f t="shared" si="74"/>
        <v>63722.357615648856</v>
      </c>
      <c r="AU35" s="134">
        <f t="shared" si="60"/>
        <v>0.47332682698883627</v>
      </c>
      <c r="AV35" s="141"/>
      <c r="AW35" s="134">
        <f>SUM('Raw Values'!B35/2)</f>
        <v>1</v>
      </c>
      <c r="AX35" s="133">
        <f>SUM((1-AW35)*'Raw Values'!C35 * 0.5)</f>
        <v>0</v>
      </c>
      <c r="AY35" s="141"/>
      <c r="AZ35" s="143">
        <v>29</v>
      </c>
      <c r="BA35" s="144">
        <v>119</v>
      </c>
      <c r="BB35" s="143">
        <v>37</v>
      </c>
      <c r="BC35" s="143">
        <v>22</v>
      </c>
      <c r="BD35" s="143">
        <v>29</v>
      </c>
      <c r="BE35" s="144">
        <v>119</v>
      </c>
      <c r="BF35" s="143">
        <v>37</v>
      </c>
      <c r="BG35" s="141"/>
      <c r="BH35" s="145">
        <f>SUM(AZ35*(1/'Raw Values'!$F35))</f>
        <v>263.63636363636368</v>
      </c>
      <c r="BI35" s="145">
        <f t="shared" si="61"/>
        <v>263.63636363636368</v>
      </c>
      <c r="BJ35" s="129"/>
      <c r="BK35" s="146">
        <f>SUM(AZ35*'Raw Values'!J35)</f>
        <v>870</v>
      </c>
      <c r="BL35" s="147">
        <f t="shared" si="62"/>
        <v>870</v>
      </c>
    </row>
    <row r="36" spans="1:64" ht="15.75" customHeight="1" x14ac:dyDescent="0.15">
      <c r="A36" s="154"/>
      <c r="B36" s="155"/>
      <c r="C36" s="155"/>
      <c r="D36" s="155"/>
      <c r="E36" s="154"/>
      <c r="F36" s="155"/>
      <c r="G36" s="155"/>
      <c r="H36" s="154"/>
      <c r="I36" s="154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56"/>
      <c r="AN36" s="155"/>
      <c r="AO36" s="155"/>
      <c r="AP36" s="155"/>
      <c r="AQ36" s="156"/>
      <c r="AR36" s="155"/>
      <c r="AS36" s="155"/>
      <c r="AT36" s="155"/>
      <c r="AU36" s="154"/>
      <c r="AV36" s="156"/>
      <c r="AW36" s="154"/>
      <c r="AX36" s="155"/>
      <c r="AY36" s="156"/>
      <c r="AZ36" s="157"/>
      <c r="BA36" s="158"/>
      <c r="BB36" s="157"/>
      <c r="BC36" s="157"/>
      <c r="BD36" s="157"/>
      <c r="BE36" s="158"/>
      <c r="BF36" s="157"/>
      <c r="BG36" s="156"/>
      <c r="BH36" s="154"/>
      <c r="BI36" s="154"/>
      <c r="BJ36" s="159"/>
      <c r="BK36" s="160"/>
      <c r="BL36" s="161"/>
    </row>
    <row r="37" spans="1:64" ht="15.75" customHeight="1" x14ac:dyDescent="0.15">
      <c r="A37" s="116" t="s">
        <v>79</v>
      </c>
      <c r="B37" s="117" t="s">
        <v>20</v>
      </c>
      <c r="C37" s="117" t="s">
        <v>19</v>
      </c>
      <c r="D37" s="117" t="s">
        <v>21</v>
      </c>
      <c r="E37" s="118" t="s">
        <v>182</v>
      </c>
      <c r="F37" s="117" t="s">
        <v>183</v>
      </c>
      <c r="G37" s="117" t="s">
        <v>184</v>
      </c>
      <c r="H37" s="118" t="s">
        <v>185</v>
      </c>
      <c r="I37" s="118" t="s">
        <v>186</v>
      </c>
      <c r="J37" s="120"/>
      <c r="K37" s="120" t="s">
        <v>188</v>
      </c>
      <c r="L37" s="120" t="s">
        <v>189</v>
      </c>
      <c r="M37" s="120" t="s">
        <v>190</v>
      </c>
      <c r="N37" s="120" t="s">
        <v>191</v>
      </c>
      <c r="O37" s="120" t="s">
        <v>192</v>
      </c>
      <c r="P37" s="120" t="s">
        <v>193</v>
      </c>
      <c r="Q37" s="120" t="s">
        <v>194</v>
      </c>
      <c r="R37" s="120" t="s">
        <v>195</v>
      </c>
      <c r="S37" s="120" t="s">
        <v>224</v>
      </c>
      <c r="T37" s="120" t="s">
        <v>225</v>
      </c>
      <c r="U37" s="120" t="s">
        <v>226</v>
      </c>
      <c r="V37" s="120" t="s">
        <v>227</v>
      </c>
      <c r="W37" s="120" t="s">
        <v>228</v>
      </c>
      <c r="X37" s="148"/>
      <c r="Y37" s="120"/>
      <c r="Z37" s="120" t="s">
        <v>197</v>
      </c>
      <c r="AA37" s="120" t="s">
        <v>198</v>
      </c>
      <c r="AB37" s="120" t="s">
        <v>199</v>
      </c>
      <c r="AC37" s="121" t="s">
        <v>200</v>
      </c>
      <c r="AD37" s="121" t="s">
        <v>201</v>
      </c>
      <c r="AE37" s="121" t="s">
        <v>202</v>
      </c>
      <c r="AF37" s="121" t="s">
        <v>203</v>
      </c>
      <c r="AG37" s="121" t="s">
        <v>204</v>
      </c>
      <c r="AH37" s="121" t="s">
        <v>229</v>
      </c>
      <c r="AI37" s="121" t="s">
        <v>230</v>
      </c>
      <c r="AJ37" s="121" t="s">
        <v>231</v>
      </c>
      <c r="AK37" s="121" t="s">
        <v>232</v>
      </c>
      <c r="AL37" s="121" t="s">
        <v>233</v>
      </c>
      <c r="AM37" s="162"/>
      <c r="AN37" s="125" t="s">
        <v>205</v>
      </c>
      <c r="AO37" s="125" t="s">
        <v>206</v>
      </c>
      <c r="AP37" s="125" t="s">
        <v>207</v>
      </c>
      <c r="AQ37" s="124"/>
      <c r="AR37" s="117" t="s">
        <v>208</v>
      </c>
      <c r="AS37" s="117" t="s">
        <v>209</v>
      </c>
      <c r="AT37" s="117" t="s">
        <v>210</v>
      </c>
      <c r="AU37" s="118" t="s">
        <v>182</v>
      </c>
      <c r="AV37" s="126"/>
      <c r="AW37" s="118" t="s">
        <v>5</v>
      </c>
      <c r="AX37" s="117" t="s">
        <v>212</v>
      </c>
      <c r="AY37" s="126"/>
      <c r="AZ37" s="127" t="s">
        <v>213</v>
      </c>
      <c r="BA37" s="163" t="s">
        <v>214</v>
      </c>
      <c r="BB37" s="127" t="s">
        <v>215</v>
      </c>
      <c r="BC37" s="127" t="s">
        <v>216</v>
      </c>
      <c r="BD37" s="127" t="s">
        <v>217</v>
      </c>
      <c r="BE37" s="163" t="s">
        <v>218</v>
      </c>
      <c r="BF37" s="127" t="s">
        <v>219</v>
      </c>
      <c r="BG37" s="126"/>
      <c r="BH37" s="118" t="s">
        <v>220</v>
      </c>
      <c r="BI37" s="118" t="s">
        <v>221</v>
      </c>
      <c r="BJ37" s="129"/>
      <c r="BK37" s="130" t="s">
        <v>222</v>
      </c>
      <c r="BL37" s="131" t="s">
        <v>223</v>
      </c>
    </row>
    <row r="38" spans="1:64" ht="15.75" customHeight="1" x14ac:dyDescent="0.15">
      <c r="A38" s="132" t="s">
        <v>174</v>
      </c>
      <c r="B38" s="133">
        <f>SUM('Raw Values'!S38+'Raw Values'!T38)</f>
        <v>7.34</v>
      </c>
      <c r="C38" s="133">
        <f>SUM('Raw Values'!S38+'Raw Values'!U38)</f>
        <v>9.6999999999999993</v>
      </c>
      <c r="D38" s="133">
        <f>SUM('Raw Values'!S38+'Raw Values'!U38+'Raw Values'!W38)</f>
        <v>165.95</v>
      </c>
      <c r="E38" s="134">
        <f t="shared" ref="E38:E39" si="75">SUM(B38/C38)</f>
        <v>0.75670103092783514</v>
      </c>
      <c r="F38" s="133">
        <f>SUM($B38+'Firing Inaccuracy(Crouching) Ra'!$AJ38)</f>
        <v>17.093821556579275</v>
      </c>
      <c r="G38" s="133">
        <f>SUM($C38+'Firing Inaccuracy(Standing) Raw'!$AJ38)</f>
        <v>23.983141995737402</v>
      </c>
      <c r="H38" s="133">
        <f>SUM($D38+'Firing Inaccuracy(Standing) Raw'!$M38)</f>
        <v>176.48488785511364</v>
      </c>
      <c r="I38" s="134">
        <f t="shared" ref="I38:I39" si="76">SUM(F38/G38)</f>
        <v>0.71274320769219535</v>
      </c>
      <c r="J38" s="165"/>
      <c r="K38" s="165"/>
      <c r="L38" s="165">
        <f>SUM(('Raw Values'!$AE38+(('Raw Values'!$AF38-'Raw Values'!$AE38)/3)))</f>
        <v>0.82893099999999997</v>
      </c>
      <c r="M38" s="165">
        <f>SUM(('Raw Values'!$AE38+(2*('Raw Values'!$AF38-'Raw Values'!$AE38)/3)))</f>
        <v>0.82893099999999997</v>
      </c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66"/>
      <c r="Z38" s="166"/>
      <c r="AA38" s="166">
        <f>SUM(('Raw Values'!$AC38+(('Raw Values'!$AD38-'Raw Values'!$AC38)/3)))</f>
        <v>0.59209299999999998</v>
      </c>
      <c r="AB38" s="166">
        <f>SUM(('Raw Values'!$AC38+(2*('Raw Values'!$AD38-'Raw Values'!$AC38)/3)))</f>
        <v>0.59209299999999998</v>
      </c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50"/>
      <c r="AN38" s="142">
        <f t="shared" ref="AN38:AP38" si="77">SUM(DEGREES(ATAN(B38/1000))*2)</f>
        <v>0.84108693878122254</v>
      </c>
      <c r="AO38" s="142">
        <f t="shared" si="77"/>
        <v>1.1115032629810877</v>
      </c>
      <c r="AP38" s="142">
        <f t="shared" si="77"/>
        <v>18.844730757339637</v>
      </c>
      <c r="AQ38" s="141"/>
      <c r="AR38" s="133">
        <f t="shared" ref="AR38:AT38" si="78">SUM((PI())*B38^2)</f>
        <v>169.25518916774226</v>
      </c>
      <c r="AS38" s="133">
        <f t="shared" si="78"/>
        <v>295.5924527762636</v>
      </c>
      <c r="AT38" s="133">
        <f t="shared" si="78"/>
        <v>86517.584578252368</v>
      </c>
      <c r="AU38" s="134">
        <f t="shared" ref="AU38:AU39" si="79">SUM(AR38/AS38)</f>
        <v>0.57259645020724848</v>
      </c>
      <c r="AV38" s="141"/>
      <c r="AW38" s="134">
        <f>SUM('Raw Values'!B38/2)</f>
        <v>0.8</v>
      </c>
      <c r="AX38" s="133">
        <f>SUM((1-AW38)*'Raw Values'!C38 * 0.5)</f>
        <v>3.1999999999999993</v>
      </c>
      <c r="AY38" s="141"/>
      <c r="AZ38" s="143">
        <v>31</v>
      </c>
      <c r="BA38" s="144">
        <v>127</v>
      </c>
      <c r="BB38" s="143">
        <v>39</v>
      </c>
      <c r="BC38" s="143">
        <v>23</v>
      </c>
      <c r="BD38" s="143">
        <v>25</v>
      </c>
      <c r="BE38" s="144">
        <v>102</v>
      </c>
      <c r="BF38" s="143">
        <v>31</v>
      </c>
      <c r="BG38" s="141"/>
      <c r="BH38" s="145">
        <f>SUM(AZ38*(1/'Raw Values'!$F38))</f>
        <v>387.5</v>
      </c>
      <c r="BI38" s="145">
        <f t="shared" ref="BI38:BI39" si="80">SUM(BH38*AW38)</f>
        <v>310</v>
      </c>
      <c r="BJ38" s="129"/>
      <c r="BK38" s="146">
        <f>SUM(AZ38*'Raw Values'!J38)</f>
        <v>3100</v>
      </c>
      <c r="BL38" s="147">
        <f t="shared" ref="BL38:BL39" si="81">SUM(BK38*AW38)</f>
        <v>2480</v>
      </c>
    </row>
    <row r="39" spans="1:64" ht="15.75" customHeight="1" x14ac:dyDescent="0.15">
      <c r="A39" s="132" t="s">
        <v>176</v>
      </c>
      <c r="B39" s="133">
        <f>SUM('Raw Values'!S39+'Raw Values'!T39)</f>
        <v>9.629999999999999</v>
      </c>
      <c r="C39" s="133">
        <f>SUM('Raw Values'!S39+'Raw Values'!U39)</f>
        <v>12.17</v>
      </c>
      <c r="D39" s="133">
        <f>SUM('Raw Values'!S39+'Raw Values'!U39+'Raw Values'!W39)</f>
        <v>171.30999999999997</v>
      </c>
      <c r="E39" s="134">
        <f t="shared" si="75"/>
        <v>0.79129005751848802</v>
      </c>
      <c r="F39" s="133">
        <f>SUM($B39+'Firing Inaccuracy(Crouching) Ra'!$AJ39)</f>
        <v>13.546631504245344</v>
      </c>
      <c r="G39" s="133">
        <f>SUM($C39+'Firing Inaccuracy(Standing) Raw'!$AJ39)</f>
        <v>18.658712638363252</v>
      </c>
      <c r="H39" s="133">
        <f>SUM($D39+'Firing Inaccuracy(Standing) Raw'!$M39)</f>
        <v>208.63761823995389</v>
      </c>
      <c r="I39" s="134">
        <f t="shared" si="76"/>
        <v>0.72602176617441383</v>
      </c>
      <c r="J39" s="170"/>
      <c r="K39" s="171"/>
      <c r="L39" s="171"/>
      <c r="M39" s="171"/>
      <c r="N39" s="171"/>
      <c r="O39" s="171"/>
      <c r="P39" s="171"/>
      <c r="Q39" s="171"/>
      <c r="R39" s="171"/>
      <c r="S39" s="171">
        <f>SUM(('Raw Values'!$AE39+(('Raw Values'!$AF39-'Raw Values'!$AE39)/3)))</f>
        <v>0.23333333333333334</v>
      </c>
      <c r="T39" s="171">
        <f>SUM(('Raw Values'!$AE39+(2*('Raw Values'!$AF39-'Raw Values'!$AE39)/3)))</f>
        <v>0.16666666666666666</v>
      </c>
      <c r="U39" s="171"/>
      <c r="V39" s="171"/>
      <c r="W39" s="171"/>
      <c r="X39" s="172"/>
      <c r="Y39" s="173"/>
      <c r="Z39" s="171"/>
      <c r="AA39" s="171"/>
      <c r="AB39" s="171"/>
      <c r="AC39" s="171"/>
      <c r="AD39" s="171"/>
      <c r="AE39" s="171"/>
      <c r="AF39" s="171"/>
      <c r="AG39" s="171"/>
      <c r="AH39" s="171">
        <f>SUM(('Raw Values'!$AC39+(('Raw Values'!$AD39-'Raw Values'!$AC39)/3)))</f>
        <v>0.19333333333333333</v>
      </c>
      <c r="AI39" s="171">
        <f>SUM(('Raw Values'!$AC39+(2*('Raw Values'!$AD39-'Raw Values'!$AC39)/3)))</f>
        <v>0.13666666666666666</v>
      </c>
      <c r="AJ39" s="171"/>
      <c r="AK39" s="171"/>
      <c r="AL39" s="171"/>
      <c r="AM39" s="150"/>
      <c r="AN39" s="142">
        <f t="shared" ref="AN39:AP39" si="82">SUM(DEGREES(ATAN(B39/1000))*2)</f>
        <v>1.1034826030802176</v>
      </c>
      <c r="AO39" s="142">
        <f t="shared" si="82"/>
        <v>1.394510429598764</v>
      </c>
      <c r="AP39" s="142">
        <f t="shared" si="82"/>
        <v>19.441957457643728</v>
      </c>
      <c r="AQ39" s="141"/>
      <c r="AR39" s="133">
        <f t="shared" ref="AR39:AT39" si="83">SUM((PI())*B39^2)</f>
        <v>291.34156375669119</v>
      </c>
      <c r="AS39" s="133">
        <f t="shared" si="83"/>
        <v>465.29783217126533</v>
      </c>
      <c r="AT39" s="133">
        <f t="shared" si="83"/>
        <v>92196.684343806715</v>
      </c>
      <c r="AU39" s="134">
        <f t="shared" si="79"/>
        <v>0.626139955127612</v>
      </c>
      <c r="AV39" s="141"/>
      <c r="AW39" s="134">
        <f>SUM('Raw Values'!B39/2)</f>
        <v>0.71</v>
      </c>
      <c r="AX39" s="133">
        <f>SUM((1-AW39)*'Raw Values'!C39 * 0.5)</f>
        <v>5.0750000000000011</v>
      </c>
      <c r="AY39" s="141"/>
      <c r="AZ39" s="143">
        <v>34</v>
      </c>
      <c r="BA39" s="144">
        <v>139</v>
      </c>
      <c r="BB39" s="143">
        <v>43</v>
      </c>
      <c r="BC39" s="143">
        <v>26</v>
      </c>
      <c r="BD39" s="143">
        <v>24</v>
      </c>
      <c r="BE39" s="144">
        <v>99</v>
      </c>
      <c r="BF39" s="143">
        <v>31</v>
      </c>
      <c r="BG39" s="141"/>
      <c r="BH39" s="145">
        <f>SUM(AZ39*(1/'Raw Values'!$F39))</f>
        <v>453.33333333333337</v>
      </c>
      <c r="BI39" s="145">
        <f t="shared" si="80"/>
        <v>321.86666666666667</v>
      </c>
      <c r="BJ39" s="129"/>
      <c r="BK39" s="146">
        <f>SUM(AZ39*'Raw Values'!J39)</f>
        <v>5100</v>
      </c>
      <c r="BL39" s="147">
        <f t="shared" si="81"/>
        <v>3621</v>
      </c>
    </row>
    <row r="40" spans="1:64" ht="15.75" customHeight="1" x14ac:dyDescent="0.15">
      <c r="A40" s="154"/>
      <c r="B40" s="155"/>
      <c r="C40" s="155"/>
      <c r="D40" s="155"/>
      <c r="E40" s="154"/>
      <c r="F40" s="155"/>
      <c r="G40" s="155"/>
      <c r="H40" s="154"/>
      <c r="I40" s="154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56"/>
      <c r="AN40" s="155"/>
      <c r="AO40" s="155"/>
      <c r="AP40" s="155"/>
      <c r="AQ40" s="156"/>
      <c r="AR40" s="155"/>
      <c r="AS40" s="155"/>
      <c r="AT40" s="155"/>
      <c r="AU40" s="154"/>
      <c r="AV40" s="156"/>
      <c r="AW40" s="154"/>
      <c r="AX40" s="155"/>
      <c r="AY40" s="156"/>
      <c r="AZ40" s="157"/>
      <c r="BA40" s="158"/>
      <c r="BB40" s="157"/>
      <c r="BC40" s="157"/>
      <c r="BD40" s="157"/>
      <c r="BE40" s="158"/>
      <c r="BF40" s="157"/>
      <c r="BG40" s="156"/>
      <c r="BH40" s="154"/>
      <c r="BI40" s="154"/>
      <c r="BJ40" s="159"/>
      <c r="BK40" s="160"/>
      <c r="BL40" s="161"/>
    </row>
    <row r="41" spans="1:64" ht="15.75" customHeight="1" x14ac:dyDescent="0.15">
      <c r="A41" s="116" t="s">
        <v>82</v>
      </c>
      <c r="B41" s="117" t="s">
        <v>20</v>
      </c>
      <c r="C41" s="117" t="s">
        <v>19</v>
      </c>
      <c r="D41" s="117" t="s">
        <v>21</v>
      </c>
      <c r="E41" s="118" t="s">
        <v>182</v>
      </c>
      <c r="F41" s="117" t="s">
        <v>183</v>
      </c>
      <c r="G41" s="117" t="s">
        <v>184</v>
      </c>
      <c r="H41" s="118" t="s">
        <v>185</v>
      </c>
      <c r="I41" s="118" t="s">
        <v>186</v>
      </c>
      <c r="J41" s="120"/>
      <c r="K41" s="120"/>
      <c r="L41" s="120" t="s">
        <v>189</v>
      </c>
      <c r="M41" s="120" t="s">
        <v>190</v>
      </c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20"/>
      <c r="Z41" s="120"/>
      <c r="AA41" s="120" t="s">
        <v>198</v>
      </c>
      <c r="AB41" s="120" t="s">
        <v>199</v>
      </c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62"/>
      <c r="AN41" s="125" t="s">
        <v>205</v>
      </c>
      <c r="AO41" s="125" t="s">
        <v>206</v>
      </c>
      <c r="AP41" s="125" t="s">
        <v>207</v>
      </c>
      <c r="AQ41" s="124"/>
      <c r="AR41" s="117" t="s">
        <v>208</v>
      </c>
      <c r="AS41" s="117" t="s">
        <v>209</v>
      </c>
      <c r="AT41" s="117" t="s">
        <v>210</v>
      </c>
      <c r="AU41" s="118" t="s">
        <v>182</v>
      </c>
      <c r="AV41" s="126"/>
      <c r="AW41" s="118" t="s">
        <v>5</v>
      </c>
      <c r="AX41" s="117" t="s">
        <v>212</v>
      </c>
      <c r="AY41" s="126"/>
      <c r="AZ41" s="127" t="s">
        <v>213</v>
      </c>
      <c r="BA41" s="163" t="s">
        <v>214</v>
      </c>
      <c r="BB41" s="127" t="s">
        <v>215</v>
      </c>
      <c r="BC41" s="127" t="s">
        <v>216</v>
      </c>
      <c r="BD41" s="127" t="s">
        <v>217</v>
      </c>
      <c r="BE41" s="163" t="s">
        <v>218</v>
      </c>
      <c r="BF41" s="127" t="s">
        <v>219</v>
      </c>
      <c r="BG41" s="126"/>
      <c r="BH41" s="118" t="s">
        <v>220</v>
      </c>
      <c r="BI41" s="118" t="s">
        <v>221</v>
      </c>
      <c r="BJ41" s="129"/>
      <c r="BK41" s="130" t="s">
        <v>222</v>
      </c>
      <c r="BL41" s="131" t="s">
        <v>223</v>
      </c>
    </row>
    <row r="42" spans="1:64" ht="15.75" customHeight="1" x14ac:dyDescent="0.15">
      <c r="A42" s="132" t="s">
        <v>177</v>
      </c>
      <c r="B42" s="133">
        <f>SUM('Raw Values'!AJ42+'Raw Values'!AK42)</f>
        <v>1.7</v>
      </c>
      <c r="C42" s="133">
        <f>SUM('Raw Values'!AJ42+'Raw Values'!AL42)</f>
        <v>2.2000000000000002</v>
      </c>
      <c r="D42" s="133">
        <f>SUM('Raw Values'!S42+'Raw Values'!U42+'Raw Values'!W42)</f>
        <v>257.48</v>
      </c>
      <c r="E42" s="134">
        <f t="shared" ref="E42:E45" si="84">SUM(B42/C42)</f>
        <v>0.7727272727272726</v>
      </c>
      <c r="F42" s="142"/>
      <c r="G42" s="142"/>
      <c r="H42" s="164"/>
      <c r="I42" s="164"/>
      <c r="J42" s="165"/>
      <c r="K42" s="165"/>
      <c r="L42" s="165">
        <f>SUM(('Raw Values'!$AE42+(('Raw Values'!$AF42-'Raw Values'!$AE42)/3)))</f>
        <v>0.34538999999999997</v>
      </c>
      <c r="M42" s="165">
        <f>SUM(('Raw Values'!$AE42+(2*('Raw Values'!$AF42-'Raw Values'!$AE42)/3)))</f>
        <v>0.34538999999999997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66"/>
      <c r="Z42" s="166"/>
      <c r="AA42" s="166">
        <f>SUM(('Raw Values'!$AC42+(('Raw Values'!$AD42-'Raw Values'!$AC42)/3)))</f>
        <v>0.24671000000000001</v>
      </c>
      <c r="AB42" s="166">
        <f>SUM(('Raw Values'!$AC42+(2*('Raw Values'!$AD42-'Raw Values'!$AC42)/3)))</f>
        <v>0.24671000000000001</v>
      </c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50"/>
      <c r="AN42" s="142">
        <f t="shared" ref="AN42:AP42" si="85">SUM(DEGREES(ATAN(B42/1000))*2)</f>
        <v>0.19480546268202878</v>
      </c>
      <c r="AO42" s="142">
        <f t="shared" si="85"/>
        <v>0.25210102313510319</v>
      </c>
      <c r="AP42" s="142">
        <f t="shared" si="85"/>
        <v>28.877780913658821</v>
      </c>
      <c r="AQ42" s="141"/>
      <c r="AR42" s="133">
        <f t="shared" ref="AR42:AT42" si="86">SUM((PI())*B42^2)</f>
        <v>9.0792027688745005</v>
      </c>
      <c r="AS42" s="133">
        <f t="shared" si="86"/>
        <v>15.205308443374602</v>
      </c>
      <c r="AT42" s="133">
        <f t="shared" si="86"/>
        <v>208274.87073939334</v>
      </c>
      <c r="AU42" s="134">
        <f t="shared" ref="AU42:AU45" si="87">SUM(AR42/AS42)</f>
        <v>0.59710743801652866</v>
      </c>
      <c r="AV42" s="141"/>
      <c r="AW42" s="134">
        <f>SUM('Raw Values'!B42/2)</f>
        <v>0.97499999999999998</v>
      </c>
      <c r="AX42" s="133">
        <f>SUM((1-AW42)*'Raw Values'!C42 * 0.5)</f>
        <v>1.4375000000000013</v>
      </c>
      <c r="AY42" s="141"/>
      <c r="AZ42" s="143">
        <v>114</v>
      </c>
      <c r="BA42" s="144">
        <v>459</v>
      </c>
      <c r="BB42" s="143">
        <v>143</v>
      </c>
      <c r="BC42" s="143">
        <v>86</v>
      </c>
      <c r="BD42" s="143">
        <v>112</v>
      </c>
      <c r="BE42" s="144">
        <v>448</v>
      </c>
      <c r="BF42" s="143">
        <v>140</v>
      </c>
      <c r="BG42" s="141"/>
      <c r="BH42" s="145">
        <f>SUM(AZ42*(1/'Raw Values'!$F42))</f>
        <v>78.350515463917532</v>
      </c>
      <c r="BI42" s="145">
        <f t="shared" ref="BI42:BI45" si="88">SUM(BH42*AW42)</f>
        <v>76.391752577319593</v>
      </c>
      <c r="BJ42" s="129"/>
      <c r="BK42" s="146">
        <f>SUM(AZ42*'Raw Values'!J42)</f>
        <v>1140</v>
      </c>
      <c r="BL42" s="147">
        <f t="shared" ref="BL42:BL45" si="89">SUM(BK42*AW42)</f>
        <v>1111.5</v>
      </c>
    </row>
    <row r="43" spans="1:64" ht="15.75" customHeight="1" x14ac:dyDescent="0.15">
      <c r="A43" s="153" t="s">
        <v>179</v>
      </c>
      <c r="B43" s="133">
        <f>SUM('Raw Values'!AJ43+'Raw Values'!AK43)</f>
        <v>1.8</v>
      </c>
      <c r="C43" s="133">
        <f>SUM('Raw Values'!AJ43+'Raw Values'!AL43)</f>
        <v>2.2999999999999998</v>
      </c>
      <c r="D43" s="133">
        <f>SUM('Raw Values'!S43+'Raw Values'!U43+'Raw Values'!W43)</f>
        <v>176.57999999999998</v>
      </c>
      <c r="E43" s="134">
        <f t="shared" si="84"/>
        <v>0.78260869565217395</v>
      </c>
      <c r="F43" s="133">
        <f>SUM($B43+'Firing Inaccuracy(Crouching) Ra'!$Z43)</f>
        <v>7.2810676471269433</v>
      </c>
      <c r="G43" s="133">
        <f>SUM($C43+'Firing Inaccuracy(Standing) Raw'!$Z43)</f>
        <v>12.20288688367863</v>
      </c>
      <c r="H43" s="133">
        <f>SUM($D43+'Firing Inaccuracy(Standing) Raw'!$M43)</f>
        <v>186.46550546900852</v>
      </c>
      <c r="I43" s="134">
        <f t="shared" ref="I43:I44" si="90">SUM(F43/G43)</f>
        <v>0.59666763418624957</v>
      </c>
      <c r="J43" s="165"/>
      <c r="K43" s="165"/>
      <c r="L43" s="165">
        <f>SUM(('Raw Values'!$AE43+(('Raw Values'!$AF43-'Raw Values'!$AE43)/3)))</f>
        <v>0.54433100000000001</v>
      </c>
      <c r="M43" s="165">
        <f>SUM(('Raw Values'!$AE43+(2*('Raw Values'!$AF43-'Raw Values'!$AE43)/3)))</f>
        <v>0.54433100000000001</v>
      </c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66"/>
      <c r="Z43" s="166"/>
      <c r="AA43" s="166">
        <f>SUM(('Raw Values'!$AC43+(('Raw Values'!$AD43-'Raw Values'!$AC43)/3)))</f>
        <v>0.38880799999999999</v>
      </c>
      <c r="AB43" s="166">
        <f>SUM(('Raw Values'!$AC43+(2*('Raw Values'!$AD43-'Raw Values'!$AC43)/3)))</f>
        <v>0.38880799999999999</v>
      </c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50"/>
      <c r="AN43" s="142">
        <f t="shared" ref="AN43:AP43" si="91">SUM(DEGREES(ATAN(B43/1000))*2)</f>
        <v>0.20626458348153867</v>
      </c>
      <c r="AO43" s="142">
        <f t="shared" si="91"/>
        <v>0.26356012101648751</v>
      </c>
      <c r="AP43" s="142">
        <f t="shared" si="91"/>
        <v>20.02811838555651</v>
      </c>
      <c r="AQ43" s="141"/>
      <c r="AR43" s="133">
        <f t="shared" ref="AR43:AT43" si="92">SUM((PI())*B43^2)</f>
        <v>10.178760197630931</v>
      </c>
      <c r="AS43" s="133">
        <f t="shared" si="92"/>
        <v>16.619025137490002</v>
      </c>
      <c r="AT43" s="133">
        <f t="shared" si="92"/>
        <v>97956.418425522963</v>
      </c>
      <c r="AU43" s="134">
        <f t="shared" si="87"/>
        <v>0.61247637051039716</v>
      </c>
      <c r="AV43" s="141"/>
      <c r="AW43" s="134">
        <f>SUM('Raw Values'!B43/2)</f>
        <v>0.82499999999999996</v>
      </c>
      <c r="AX43" s="133">
        <f>SUM((1-AW43)*'Raw Values'!C43 * 0.5)</f>
        <v>7.0000000000000018</v>
      </c>
      <c r="AY43" s="141"/>
      <c r="AZ43" s="143">
        <v>79</v>
      </c>
      <c r="BA43" s="144">
        <v>319</v>
      </c>
      <c r="BB43" s="143">
        <v>99</v>
      </c>
      <c r="BC43" s="143">
        <v>59</v>
      </c>
      <c r="BD43" s="143">
        <v>65</v>
      </c>
      <c r="BE43" s="144">
        <v>263</v>
      </c>
      <c r="BF43" s="143">
        <v>82</v>
      </c>
      <c r="BG43" s="141"/>
      <c r="BH43" s="145">
        <f>SUM(AZ43*(1/'Raw Values'!$F43))</f>
        <v>316</v>
      </c>
      <c r="BI43" s="145">
        <f t="shared" si="88"/>
        <v>260.7</v>
      </c>
      <c r="BJ43" s="129"/>
      <c r="BK43" s="146">
        <f>SUM(AZ43*'Raw Values'!J43)</f>
        <v>1580</v>
      </c>
      <c r="BL43" s="147">
        <f t="shared" si="89"/>
        <v>1303.5</v>
      </c>
    </row>
    <row r="44" spans="1:64" ht="15.75" customHeight="1" x14ac:dyDescent="0.15">
      <c r="A44" s="151" t="s">
        <v>180</v>
      </c>
      <c r="B44" s="133">
        <f>SUM('Raw Values'!AJ44+'Raw Values'!AK44)</f>
        <v>1.8</v>
      </c>
      <c r="C44" s="133">
        <f>SUM('Raw Values'!AJ44+'Raw Values'!AL44)</f>
        <v>2.2999999999999998</v>
      </c>
      <c r="D44" s="133">
        <f>SUM('Raw Values'!S44+'Raw Values'!U44+'Raw Values'!W44)</f>
        <v>176.57999999999998</v>
      </c>
      <c r="E44" s="134">
        <f t="shared" si="84"/>
        <v>0.78260869565217395</v>
      </c>
      <c r="F44" s="133">
        <f>SUM($B44+'Firing Inaccuracy(Crouching) Ra'!$Z44)</f>
        <v>7.2810676471269433</v>
      </c>
      <c r="G44" s="133">
        <f>SUM($C44+'Firing Inaccuracy(Standing) Raw'!$Z44)</f>
        <v>12.20288688367863</v>
      </c>
      <c r="H44" s="133">
        <f>SUM($D44+'Firing Inaccuracy(Standing) Raw'!$M44)</f>
        <v>186.46550546900852</v>
      </c>
      <c r="I44" s="134">
        <f t="shared" si="90"/>
        <v>0.59666763418624957</v>
      </c>
      <c r="J44" s="165"/>
      <c r="K44" s="165"/>
      <c r="L44" s="165">
        <f>SUM(('Raw Values'!$AE44+(('Raw Values'!$AF44-'Raw Values'!$AE44)/3)))</f>
        <v>0.54433100000000001</v>
      </c>
      <c r="M44" s="165">
        <f>SUM(('Raw Values'!$AE44+(2*('Raw Values'!$AF44-'Raw Values'!$AE44)/3)))</f>
        <v>0.54433100000000001</v>
      </c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66"/>
      <c r="Z44" s="166"/>
      <c r="AA44" s="166">
        <f>SUM(('Raw Values'!$AC44+(('Raw Values'!$AD44-'Raw Values'!$AC44)/3)))</f>
        <v>0.38880799999999999</v>
      </c>
      <c r="AB44" s="166">
        <f>SUM(('Raw Values'!$AC44+(2*('Raw Values'!$AD44-'Raw Values'!$AC44)/3)))</f>
        <v>0.38880799999999999</v>
      </c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50"/>
      <c r="AN44" s="142">
        <f t="shared" ref="AN44:AP44" si="93">SUM(DEGREES(ATAN(B44/1000))*2)</f>
        <v>0.20626458348153867</v>
      </c>
      <c r="AO44" s="142">
        <f t="shared" si="93"/>
        <v>0.26356012101648751</v>
      </c>
      <c r="AP44" s="142">
        <f t="shared" si="93"/>
        <v>20.02811838555651</v>
      </c>
      <c r="AQ44" s="141"/>
      <c r="AR44" s="133">
        <f t="shared" ref="AR44:AT44" si="94">SUM((PI())*B44^2)</f>
        <v>10.178760197630931</v>
      </c>
      <c r="AS44" s="133">
        <f t="shared" si="94"/>
        <v>16.619025137490002</v>
      </c>
      <c r="AT44" s="133">
        <f t="shared" si="94"/>
        <v>97956.418425522963</v>
      </c>
      <c r="AU44" s="134">
        <f t="shared" si="87"/>
        <v>0.61247637051039716</v>
      </c>
      <c r="AV44" s="141"/>
      <c r="AW44" s="134">
        <f>SUM('Raw Values'!B44/2)</f>
        <v>0.82499999999999996</v>
      </c>
      <c r="AX44" s="133">
        <f>SUM((1-AW44)*'Raw Values'!C44 * 0.5)</f>
        <v>7.0000000000000018</v>
      </c>
      <c r="AY44" s="141"/>
      <c r="AZ44" s="143">
        <v>79</v>
      </c>
      <c r="BA44" s="144">
        <v>319</v>
      </c>
      <c r="BB44" s="143">
        <v>99</v>
      </c>
      <c r="BC44" s="143">
        <v>59</v>
      </c>
      <c r="BD44" s="143">
        <v>65</v>
      </c>
      <c r="BE44" s="144">
        <v>263</v>
      </c>
      <c r="BF44" s="143">
        <v>82</v>
      </c>
      <c r="BG44" s="141"/>
      <c r="BH44" s="145">
        <f>SUM(AZ44*(1/'Raw Values'!$F44))</f>
        <v>316</v>
      </c>
      <c r="BI44" s="145">
        <f t="shared" si="88"/>
        <v>260.7</v>
      </c>
      <c r="BJ44" s="129"/>
      <c r="BK44" s="146">
        <f>SUM(AZ44*'Raw Values'!J44)</f>
        <v>1580</v>
      </c>
      <c r="BL44" s="147">
        <f t="shared" si="89"/>
        <v>1303.5</v>
      </c>
    </row>
    <row r="45" spans="1:64" ht="15.75" customHeight="1" x14ac:dyDescent="0.15">
      <c r="A45" s="132" t="s">
        <v>181</v>
      </c>
      <c r="B45" s="133">
        <f>SUM('Raw Values'!AJ45+'Raw Values'!AK45)</f>
        <v>3.03</v>
      </c>
      <c r="C45" s="133">
        <f>SUM('Raw Values'!AJ45+'Raw Values'!AL45)</f>
        <v>3.23</v>
      </c>
      <c r="D45" s="133">
        <f>SUM('Raw Values'!S45+'Raw Values'!U45+'Raw Values'!W45)</f>
        <v>155.43</v>
      </c>
      <c r="E45" s="134">
        <f t="shared" si="84"/>
        <v>0.9380804953560371</v>
      </c>
      <c r="F45" s="142"/>
      <c r="G45" s="142"/>
      <c r="H45" s="164"/>
      <c r="I45" s="164"/>
      <c r="J45" s="165"/>
      <c r="K45" s="165"/>
      <c r="L45" s="165">
        <f>SUM(('Raw Values'!$AE45+(('Raw Values'!$AF45-'Raw Values'!$AE45)/3)))</f>
        <v>0.142096</v>
      </c>
      <c r="M45" s="165">
        <f>SUM(('Raw Values'!$AE45+(2*('Raw Values'!$AF45-'Raw Values'!$AE45)/3)))</f>
        <v>0.142096</v>
      </c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66"/>
      <c r="Z45" s="166"/>
      <c r="AA45" s="166">
        <f>SUM(('Raw Values'!$AC45+(('Raw Values'!$AD45-'Raw Values'!$AC45)/3)))</f>
        <v>5.5782999999999999E-2</v>
      </c>
      <c r="AB45" s="166">
        <f>SUM(('Raw Values'!$AC45+(2*('Raw Values'!$AD45-'Raw Values'!$AC45)/3)))</f>
        <v>5.5782999999999999E-2</v>
      </c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50"/>
      <c r="AN45" s="142">
        <f t="shared" ref="AN45:AP45" si="95">SUM(DEGREES(ATAN(B45/1000))*2)</f>
        <v>0.34721136128095131</v>
      </c>
      <c r="AO45" s="142">
        <f t="shared" si="95"/>
        <v>0.37012944848358514</v>
      </c>
      <c r="AP45" s="142">
        <f t="shared" si="95"/>
        <v>17.669581165063637</v>
      </c>
      <c r="AQ45" s="141"/>
      <c r="AR45" s="133">
        <f t="shared" ref="AR45:AT45" si="96">SUM((PI())*B45^2)</f>
        <v>28.842647993342531</v>
      </c>
      <c r="AS45" s="133">
        <f t="shared" si="96"/>
        <v>32.775921995636956</v>
      </c>
      <c r="AT45" s="133">
        <f t="shared" si="96"/>
        <v>75896.118683699955</v>
      </c>
      <c r="AU45" s="134">
        <f t="shared" si="87"/>
        <v>0.87999501576742789</v>
      </c>
      <c r="AV45" s="141"/>
      <c r="AW45" s="134">
        <f>SUM('Raw Values'!B45/2)</f>
        <v>0.85</v>
      </c>
      <c r="AX45" s="133">
        <f>SUM((1-AW45)*'Raw Values'!C45 * 0.5)</f>
        <v>6.6000000000000014</v>
      </c>
      <c r="AY45" s="141"/>
      <c r="AZ45" s="143">
        <v>87</v>
      </c>
      <c r="BA45" s="144">
        <v>351</v>
      </c>
      <c r="BB45" s="143">
        <v>109</v>
      </c>
      <c r="BC45" s="143">
        <v>65</v>
      </c>
      <c r="BD45" s="143">
        <v>74</v>
      </c>
      <c r="BE45" s="144">
        <v>298</v>
      </c>
      <c r="BF45" s="143">
        <v>93</v>
      </c>
      <c r="BG45" s="141"/>
      <c r="BH45" s="145">
        <f>SUM(AZ45*(1/'Raw Values'!$F45))</f>
        <v>69.600000000000009</v>
      </c>
      <c r="BI45" s="145">
        <f t="shared" si="88"/>
        <v>59.160000000000004</v>
      </c>
      <c r="BJ45" s="129"/>
      <c r="BK45" s="146">
        <f>SUM(AZ45*'Raw Values'!J45)</f>
        <v>870</v>
      </c>
      <c r="BL45" s="147">
        <f t="shared" si="89"/>
        <v>739.5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" width="11.6640625" customWidth="1"/>
    <col min="6" max="6" width="4.5" customWidth="1"/>
    <col min="7" max="36" width="11.6640625" customWidth="1"/>
  </cols>
  <sheetData>
    <row r="1" spans="1:36" ht="15.75" customHeight="1" x14ac:dyDescent="0.15">
      <c r="A1" s="1" t="s">
        <v>0</v>
      </c>
      <c r="B1" s="69" t="s">
        <v>95</v>
      </c>
      <c r="C1" s="4" t="s">
        <v>234</v>
      </c>
      <c r="D1" s="7" t="s">
        <v>27</v>
      </c>
      <c r="E1" s="7" t="s">
        <v>235</v>
      </c>
      <c r="F1" s="174"/>
      <c r="G1" s="175">
        <v>1</v>
      </c>
      <c r="H1" s="175">
        <v>2</v>
      </c>
      <c r="I1" s="175">
        <v>3</v>
      </c>
      <c r="J1" s="175">
        <v>4</v>
      </c>
      <c r="K1" s="175">
        <v>5</v>
      </c>
      <c r="L1" s="175">
        <v>6</v>
      </c>
      <c r="M1" s="175">
        <v>7</v>
      </c>
      <c r="N1" s="175">
        <v>8</v>
      </c>
      <c r="O1" s="175">
        <v>9</v>
      </c>
      <c r="P1" s="175">
        <v>10</v>
      </c>
      <c r="Q1" s="175">
        <v>11</v>
      </c>
      <c r="R1" s="175">
        <v>12</v>
      </c>
      <c r="S1" s="175">
        <v>13</v>
      </c>
      <c r="T1" s="175">
        <v>14</v>
      </c>
      <c r="U1" s="175">
        <v>15</v>
      </c>
      <c r="V1" s="175">
        <v>16</v>
      </c>
      <c r="W1" s="175">
        <v>17</v>
      </c>
      <c r="X1" s="175">
        <v>18</v>
      </c>
      <c r="Y1" s="175">
        <v>19</v>
      </c>
      <c r="Z1" s="175">
        <v>20</v>
      </c>
      <c r="AA1" s="175">
        <v>21</v>
      </c>
      <c r="AB1" s="175">
        <v>22</v>
      </c>
      <c r="AC1" s="175">
        <v>23</v>
      </c>
      <c r="AD1" s="175">
        <v>24</v>
      </c>
      <c r="AE1" s="175">
        <v>25</v>
      </c>
      <c r="AF1" s="175">
        <v>26</v>
      </c>
      <c r="AG1" s="175">
        <v>27</v>
      </c>
      <c r="AH1" s="175">
        <v>28</v>
      </c>
      <c r="AI1" s="175">
        <v>29</v>
      </c>
      <c r="AJ1" s="175">
        <v>30</v>
      </c>
    </row>
    <row r="2" spans="1:36" ht="15.75" customHeight="1" x14ac:dyDescent="0.15">
      <c r="A2" s="9" t="s">
        <v>142</v>
      </c>
      <c r="B2" s="83">
        <f>'Raw Values'!F2</f>
        <v>0.22500000000000001</v>
      </c>
      <c r="C2" s="15">
        <f>'Raw Values'!V2</f>
        <v>72.23</v>
      </c>
      <c r="D2" s="22">
        <f>'Raw Values'!AE2</f>
        <v>0.81120000000000003</v>
      </c>
      <c r="E2" s="33" t="s">
        <v>236</v>
      </c>
      <c r="F2" s="176"/>
      <c r="G2" s="21">
        <v>0</v>
      </c>
      <c r="H2" s="114">
        <f>('Raw Values'!$V2)*(0.1^('Raw Values'!$F2/'Raw Values'!$AE2))</f>
        <v>38.137370939144937</v>
      </c>
      <c r="I2" s="114">
        <f>('Raw Values'!$V2+H2)*(0.1^('Raw Values'!$F2/'Raw Values'!$AE2))</f>
        <v>58.273866330948017</v>
      </c>
      <c r="J2" s="114">
        <f>('Raw Values'!$V2+I2)*(0.1^('Raw Values'!$F2/'Raw Values'!$AE2))</f>
        <v>68.905916644828366</v>
      </c>
      <c r="K2" s="114">
        <f>('Raw Values'!$V2+J2)*(0.1^('Raw Values'!$F2/Analysis!$M2))</f>
        <v>74.51962904499598</v>
      </c>
      <c r="L2" s="114">
        <f>('Raw Values'!$V2+K2)*(0.1^('Raw Values'!$F2/Analysis!$N2))</f>
        <v>77.48366382487788</v>
      </c>
      <c r="M2" s="114">
        <f>('Raw Values'!$V2+L2)*(0.1^('Raw Values'!$F2/Analysis!$O2))</f>
        <v>79.048671354669963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spans="1:36" ht="15.75" customHeight="1" x14ac:dyDescent="0.15">
      <c r="A3" s="9" t="s">
        <v>144</v>
      </c>
      <c r="B3" s="83">
        <f>'Raw Values'!AY3</f>
        <v>0.4</v>
      </c>
      <c r="C3" s="15">
        <f>'Raw Values'!AM3</f>
        <v>55</v>
      </c>
      <c r="D3" s="22">
        <f>'Raw Values'!AE3</f>
        <v>0.9</v>
      </c>
      <c r="E3" s="33" t="s">
        <v>236</v>
      </c>
      <c r="F3" s="176"/>
      <c r="G3" s="21">
        <v>0</v>
      </c>
      <c r="H3" s="114">
        <f>('Raw Values'!$AM3)*(0.1^('Raw Values'!$AY3/'Raw Values'!$AE3))</f>
        <v>19.765975150925449</v>
      </c>
      <c r="I3" s="114">
        <f>('Raw Values'!$AM3+H3)*(0.1^('Raw Values'!$AY3/'Raw Values'!$AE3))</f>
        <v>26.869498308507307</v>
      </c>
      <c r="J3" s="114">
        <f>('Raw Values'!$AM3+I3)*(0.1^('Raw Values'!$AY3/'Raw Values'!$AE3))</f>
        <v>29.422372166994336</v>
      </c>
      <c r="K3" s="114">
        <f>('Raw Values'!$AM3+J3)*(0.1^('Raw Values'!$AY3/'Raw Values'!$AE3))</f>
        <v>30.33982746245437</v>
      </c>
      <c r="L3" s="114">
        <f>('Raw Values'!$AM3+K3)*(0.1^('Raw Values'!$AY3/'Raw Values'!$AE3))</f>
        <v>30.669543800129784</v>
      </c>
      <c r="M3" s="114">
        <f>('Raw Values'!$AM3+L3)*(0.1^('Raw Values'!$AY3/'Raw Values'!$AE3))</f>
        <v>30.788037708081539</v>
      </c>
      <c r="N3" s="114">
        <f>('Raw Values'!$AM3+M3)*(0.1^('Raw Values'!$AY3/'Raw Values'!$AE3))</f>
        <v>30.830622210628999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5.75" customHeight="1" x14ac:dyDescent="0.15">
      <c r="A4" s="9" t="s">
        <v>145</v>
      </c>
      <c r="B4" s="83">
        <f>'Raw Values'!F4</f>
        <v>0.12</v>
      </c>
      <c r="C4" s="15">
        <f>'Raw Values'!V4</f>
        <v>11.16</v>
      </c>
      <c r="D4" s="22">
        <f>'Raw Values'!AE4</f>
        <v>0.52498900000000004</v>
      </c>
      <c r="E4" s="33" t="s">
        <v>236</v>
      </c>
      <c r="F4" s="176"/>
      <c r="G4" s="21">
        <v>0</v>
      </c>
      <c r="H4" s="114">
        <f>('Raw Values'!$V4)*(0.1^('Raw Values'!$F4/'Raw Values'!$AE4))</f>
        <v>6.5930744032933069</v>
      </c>
      <c r="I4" s="114">
        <f>('Raw Values'!$AM4+H4)*(0.1^('Raw Values'!$F4/'Raw Values'!$AE4))</f>
        <v>10.960734762611949</v>
      </c>
      <c r="J4" s="114">
        <f>('Raw Values'!$V4+I4)*(0.1^('Raw Values'!$F4/'Raw Values'!$AE4))</f>
        <v>13.068427432385061</v>
      </c>
      <c r="K4" s="114">
        <f>('Raw Values'!$AM4+J4)*(0.1^('Raw Values'!$F4/Analysis!$M4))</f>
        <v>14.786226188095158</v>
      </c>
      <c r="L4" s="114">
        <f>('Raw Values'!$V4+K4)*(0.1^('Raw Values'!$F4/Analysis!$N4))</f>
        <v>15.328440837167443</v>
      </c>
      <c r="M4" s="114">
        <f>('Raw Values'!$AM4+L4)*(0.1^('Raw Values'!$F4/Analysis!$O4))</f>
        <v>16.121390751730505</v>
      </c>
      <c r="N4" s="114">
        <f>('Raw Values'!$V4+M4)*(0.1^('Raw Values'!$F4/Analysis!$P4))</f>
        <v>16.117225721458524</v>
      </c>
      <c r="O4" s="114">
        <f>('Raw Values'!$AM4+N4)*(0.1^('Raw Values'!$F4/Analysis!$Q4))</f>
        <v>16.587386937243426</v>
      </c>
      <c r="P4" s="114">
        <f>('Raw Values'!$V4+O4)*(0.1^('Raw Values'!$F4/Analysis!$R4))</f>
        <v>16.392525678693072</v>
      </c>
      <c r="Q4" s="114">
        <f>('Raw Values'!$AM4+P4)*(0.1^('Raw Values'!$F4/'Raw Values'!$AF4))</f>
        <v>16.750027896138665</v>
      </c>
      <c r="R4" s="114">
        <f>('Raw Values'!$V4+Q4)*(0.1^('Raw Values'!$F4/'Raw Values'!$AF4))</f>
        <v>16.488610261400893</v>
      </c>
      <c r="S4" s="114">
        <f>('Raw Values'!$AM4+R4)*(0.1^('Raw Values'!$F4/'Raw Values'!$AF4))</f>
        <v>16.806792484203363</v>
      </c>
      <c r="T4" s="114">
        <f>('Raw Values'!$V4+S4)*(0.1^('Raw Values'!$F4/'Raw Values'!$AF4))</f>
        <v>16.522145490126956</v>
      </c>
      <c r="U4" s="114">
        <f>('Raw Values'!$AM4+T4)*(0.1^('Raw Values'!$F4/'Raw Values'!$AF4))</f>
        <v>16.826604335289598</v>
      </c>
      <c r="V4" s="114">
        <f>('Raw Values'!$V4+U4)*(0.1^('Raw Values'!$F4/'Raw Values'!$AF4))</f>
        <v>16.533849881549763</v>
      </c>
      <c r="W4" s="114">
        <f>('Raw Values'!$AM4+V4)*(0.1^('Raw Values'!$F4/'Raw Values'!$AF4))</f>
        <v>16.83351902377489</v>
      </c>
      <c r="X4" s="114">
        <f>('Raw Values'!$V4+W4)*(0.1^('Raw Values'!$F4/'Raw Values'!$AF4))</f>
        <v>16.537934922379431</v>
      </c>
      <c r="Y4" s="114">
        <f>('Raw Values'!$AM4+X4)*(0.1^('Raw Values'!$F4/'Raw Values'!$AF4))</f>
        <v>16.835932373069738</v>
      </c>
      <c r="Z4" s="114">
        <f>('Raw Values'!$V4+Y4)*(0.1^('Raw Values'!$F4/'Raw Values'!$AF4))</f>
        <v>16.539360674302557</v>
      </c>
      <c r="AA4" s="114">
        <f>('Raw Values'!$AM4+Z4)*(0.1^('Raw Values'!$F4/'Raw Values'!$AF4))</f>
        <v>16.836774674907534</v>
      </c>
      <c r="AB4" s="114">
        <f>('Raw Values'!$V4+AA4)*(0.1^('Raw Values'!$F4/'Raw Values'!$AF4))</f>
        <v>16.539858287088098</v>
      </c>
      <c r="AC4" s="114">
        <f>('Raw Values'!$AM4+AB4)*(0.1^('Raw Values'!$F4/'Raw Values'!$AF4))</f>
        <v>16.837068653233619</v>
      </c>
      <c r="AD4" s="114">
        <f>('Raw Values'!$V4+AC4)*(0.1^('Raw Values'!$F4/'Raw Values'!$AF4))</f>
        <v>16.540031962802868</v>
      </c>
      <c r="AE4" s="114">
        <f>('Raw Values'!$AM4+AD4)*(0.1^('Raw Values'!$F4/'Raw Values'!$AF4))</f>
        <v>16.837171256899346</v>
      </c>
      <c r="AF4" s="114">
        <f>('Raw Values'!$V4+AE4)*(0.1^('Raw Values'!$F4/'Raw Values'!$AF4))</f>
        <v>16.54009257871704</v>
      </c>
      <c r="AG4" s="114">
        <f>('Raw Values'!$AM4+AF4)*(0.1^('Raw Values'!$F4/'Raw Values'!$AF4))</f>
        <v>16.83720706740402</v>
      </c>
      <c r="AH4" s="114">
        <f>('Raw Values'!$V4+AG4)*(0.1^('Raw Values'!$F4/'Raw Values'!$AF4))</f>
        <v>16.540113734749454</v>
      </c>
      <c r="AI4" s="114">
        <f>('Raw Values'!$AM4+AH4)*(0.1^('Raw Values'!$F4/'Raw Values'!$AF4))</f>
        <v>16.837219565907226</v>
      </c>
      <c r="AJ4" s="114">
        <f>('Raw Values'!$V4+AI4)*(0.1^('Raw Values'!$F4/'Raw Values'!$AF4))</f>
        <v>16.540121118581137</v>
      </c>
    </row>
    <row r="5" spans="1:36" ht="15.75" customHeight="1" x14ac:dyDescent="0.15">
      <c r="A5" s="35" t="s">
        <v>146</v>
      </c>
      <c r="B5" s="83">
        <f>'Raw Values'!F5</f>
        <v>0.15</v>
      </c>
      <c r="C5" s="15">
        <f>'Raw Values'!V5</f>
        <v>25</v>
      </c>
      <c r="D5" s="22">
        <f>'Raw Values'!AE5</f>
        <v>0.2</v>
      </c>
      <c r="E5" s="22">
        <f>'Raw Values'!AF5</f>
        <v>0.5</v>
      </c>
      <c r="F5" s="176"/>
      <c r="G5" s="21">
        <v>0</v>
      </c>
      <c r="H5" s="114">
        <f>('Raw Values'!$V5)*(0.1^('Raw Values'!$F5/Analysis!$J5))</f>
        <v>6.6224232190263219</v>
      </c>
      <c r="I5" s="114">
        <f>('Raw Values'!$V5+H5)*(0.1^('Raw Values'!$F5/Analysis!$K5))</f>
        <v>10.745958196424183</v>
      </c>
      <c r="J5" s="114">
        <f>('Raw Values'!$V5+I5)*(0.1^('Raw Values'!$F5/Analysis!$L5))</f>
        <v>14.40423177997212</v>
      </c>
      <c r="K5" s="114">
        <f>('Raw Values'!$V5+J5)*(0.1^('Raw Values'!$F5/Analysis!$M5))</f>
        <v>17.973546271684381</v>
      </c>
      <c r="L5" s="114">
        <f>('Raw Values'!$V5+K5)*(0.1^('Raw Values'!$F5/'Raw Values'!$AF5))</f>
        <v>21.537792775059081</v>
      </c>
      <c r="M5" s="114">
        <f>('Raw Values'!$V5+L5)*(0.1^('Raw Values'!$F5/'Raw Values'!$AF5))</f>
        <v>23.324147620051122</v>
      </c>
      <c r="N5" s="114">
        <f>('Raw Values'!$V5+M5)*(0.1^('Raw Values'!$F5/'Raw Values'!$AF5))</f>
        <v>24.219445863089359</v>
      </c>
      <c r="O5" s="114">
        <f>('Raw Values'!$V5+N5)*(0.1^('Raw Values'!$F5/'Raw Values'!$AF5))</f>
        <v>24.668157912789052</v>
      </c>
      <c r="P5" s="114">
        <f>('Raw Values'!$V5+O5)*(0.1^('Raw Values'!$F5/'Raw Values'!$AF5))</f>
        <v>24.893046663673264</v>
      </c>
      <c r="Q5" s="114">
        <f>('Raw Values'!$V5+P5)*(0.1^('Raw Values'!$F5/'Raw Values'!$AF5))</f>
        <v>25.005758034602813</v>
      </c>
      <c r="R5" s="114">
        <f>('Raw Values'!$V5+Q5)*(0.1^('Raw Values'!$F5/'Raw Values'!$AF5))</f>
        <v>25.062247534797333</v>
      </c>
      <c r="S5" s="114">
        <f>('Raw Values'!$V5+R5)*(0.1^('Raw Values'!$F5/'Raw Values'!$AF5))</f>
        <v>25.090559351128814</v>
      </c>
      <c r="T5" s="114">
        <f>('Raw Values'!$V5+S5)*(0.1^('Raw Values'!$F5/'Raw Values'!$AF5))</f>
        <v>25.10474887203495</v>
      </c>
      <c r="U5" s="114">
        <f>('Raw Values'!$V5+T5)*(0.1^('Raw Values'!$F5/'Raw Values'!$AF5))</f>
        <v>25.111860478764388</v>
      </c>
      <c r="V5" s="114">
        <f>('Raw Values'!$V5+U5)*(0.1^('Raw Values'!$F5/'Raw Values'!$AF5))</f>
        <v>25.115424725267761</v>
      </c>
      <c r="W5" s="114">
        <f>('Raw Values'!$V5+V5)*(0.1^('Raw Values'!$F5/'Raw Values'!$AF5))</f>
        <v>25.117211080112753</v>
      </c>
      <c r="X5" s="114">
        <f>('Raw Values'!$V5+W5)*(0.1^('Raw Values'!$F5/'Raw Values'!$AF5))</f>
        <v>25.118106378355794</v>
      </c>
      <c r="Y5" s="114">
        <f>('Raw Values'!$V5+X5)*(0.1^('Raw Values'!$F5/'Raw Values'!$AF5))</f>
        <v>25.118555090405494</v>
      </c>
      <c r="Z5" s="114">
        <f>('Raw Values'!$V5+Y5)*(0.1^('Raw Values'!$F5/'Raw Values'!$AF5))</f>
        <v>25.118779979156379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spans="1:36" ht="15.75" customHeight="1" x14ac:dyDescent="0.15">
      <c r="A6" s="36" t="s">
        <v>147</v>
      </c>
      <c r="B6" s="83">
        <f>'Raw Values'!F6</f>
        <v>0.15</v>
      </c>
      <c r="C6" s="15">
        <f>'Raw Values'!V6</f>
        <v>56</v>
      </c>
      <c r="D6" s="22">
        <f>'Raw Values'!AE6</f>
        <v>0.2</v>
      </c>
      <c r="E6" s="22">
        <f>'Raw Values'!AF6</f>
        <v>0.33</v>
      </c>
      <c r="F6" s="176"/>
      <c r="G6" s="21">
        <v>0</v>
      </c>
      <c r="H6" s="114">
        <f>('Raw Values'!$V6)*(0.1^('Raw Values'!$F6/Analysis!$J6))</f>
        <v>12.14706101167155</v>
      </c>
      <c r="I6" s="114">
        <f>('Raw Values'!$V6+H6)*(0.1^('Raw Values'!$F6/Analysis!$K6))</f>
        <v>17.306491581547274</v>
      </c>
      <c r="J6" s="114">
        <f>('Raw Values'!$V6+I6)*(0.1^('Raw Values'!$F6/Analysis!$L6))</f>
        <v>21.16284687187806</v>
      </c>
      <c r="K6" s="114">
        <f>('Raw Values'!$V6+J6)*(0.1^('Raw Values'!$F6/Analysis!$M6))</f>
        <v>24.773489823411701</v>
      </c>
      <c r="L6" s="114">
        <f>('Raw Values'!$V6+K6)*(0.1^('Raw Values'!$F6/'Raw Values'!$AF6))</f>
        <v>28.361120981167318</v>
      </c>
      <c r="M6" s="114">
        <f>('Raw Values'!$V6+L6)*(0.1^('Raw Values'!$F6/'Raw Values'!$AF6))</f>
        <v>29.62080706781974</v>
      </c>
      <c r="N6" s="114">
        <f>('Raw Values'!$V6+M6)*(0.1^('Raw Values'!$F6/'Raw Values'!$AF6))</f>
        <v>30.06310700533572</v>
      </c>
      <c r="O6" s="114">
        <f>('Raw Values'!$V6+N6)*(0.1^('Raw Values'!$F6/'Raw Values'!$AF6))</f>
        <v>30.21840699380072</v>
      </c>
      <c r="P6" s="114">
        <f>('Raw Values'!$V6+O6)*(0.1^('Raw Values'!$F6/'Raw Values'!$AF6))</f>
        <v>30.272935797382921</v>
      </c>
      <c r="Q6" s="114">
        <f>('Raw Values'!$V6+P6)*(0.1^('Raw Values'!$F6/'Raw Values'!$AF6))</f>
        <v>30.292081905824368</v>
      </c>
      <c r="R6" s="114">
        <f>('Raw Values'!$V6+Q6)*(0.1^('Raw Values'!$F6/'Raw Values'!$AF6))</f>
        <v>30.298804471594568</v>
      </c>
      <c r="S6" s="114">
        <f>('Raw Values'!$V6+R6)*(0.1^('Raw Values'!$F6/'Raw Values'!$AF6))</f>
        <v>30.301164893331066</v>
      </c>
      <c r="T6" s="114">
        <f>('Raw Values'!$V6+S6)*(0.1^('Raw Values'!$F6/'Raw Values'!$AF6))</f>
        <v>30.301993682660115</v>
      </c>
      <c r="U6" s="114">
        <f>('Raw Values'!$V6+T6)*(0.1^('Raw Values'!$F6/'Raw Values'!$AF6))</f>
        <v>30.302284686484271</v>
      </c>
      <c r="V6" s="114">
        <f>('Raw Values'!$V6+U6)*(0.1^('Raw Values'!$F6/'Raw Values'!$AF6))</f>
        <v>30.30238686350647</v>
      </c>
      <c r="W6" s="114">
        <f>('Raw Values'!$V6+V6)*(0.1^('Raw Values'!$F6/'Raw Values'!$AF6))</f>
        <v>30.302422739818049</v>
      </c>
      <c r="X6" s="114">
        <f>('Raw Values'!$V6+W6)*(0.1^('Raw Values'!$F6/'Raw Values'!$AF6))</f>
        <v>30.302435336678911</v>
      </c>
      <c r="Y6" s="114">
        <f>('Raw Values'!$V6+X6)*(0.1^('Raw Values'!$F6/'Raw Values'!$AF6))</f>
        <v>30.30243975967829</v>
      </c>
      <c r="Z6" s="114">
        <f>('Raw Values'!$V6+Y6)*(0.1^('Raw Values'!$F6/'Raw Values'!$AF6))</f>
        <v>30.302441312678177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spans="1:36" ht="15.75" customHeight="1" x14ac:dyDescent="0.15">
      <c r="A7" s="35" t="s">
        <v>148</v>
      </c>
      <c r="B7" s="83">
        <f>'Raw Values'!F7</f>
        <v>0.17</v>
      </c>
      <c r="C7" s="15">
        <f>'Raw Values'!V7</f>
        <v>50</v>
      </c>
      <c r="D7" s="22">
        <f>'Raw Values'!AE7</f>
        <v>0.34953200000000001</v>
      </c>
      <c r="E7" s="33" t="s">
        <v>236</v>
      </c>
      <c r="F7" s="176"/>
      <c r="G7" s="21">
        <v>0</v>
      </c>
      <c r="H7" s="114">
        <f>('Raw Values'!$V7)*(0.1^('Raw Values'!$F7/'Raw Values'!$AE7))</f>
        <v>16.31568754152801</v>
      </c>
      <c r="I7" s="114">
        <f>('Raw Values'!$V7+H7)*(0.1^('Raw Values'!$F7/'Raw Values'!$AE7))</f>
        <v>21.639720740583456</v>
      </c>
      <c r="J7" s="114">
        <f>('Raw Values'!$V7+I7)*(0.1^('Raw Values'!$F7/'Raw Values'!$AE7))</f>
        <v>23.377025983313665</v>
      </c>
      <c r="K7" s="114">
        <f>('Raw Values'!$V7+J7)*(0.1^('Raw Values'!$F7/Analysis!$M7))</f>
        <v>23.94393257340656</v>
      </c>
      <c r="L7" s="114">
        <f>('Raw Values'!$V7+K7)*(0.1^('Raw Values'!$F7/Analysis!$N7))</f>
        <v>24.128921989190331</v>
      </c>
      <c r="M7" s="114">
        <f>('Raw Values'!$V7+L7)*(0.1^('Raw Values'!$F7/Analysis!$O7))</f>
        <v>24.189286579318686</v>
      </c>
      <c r="N7" s="114">
        <f>('Raw Values'!$V7+M7)*(0.1^('Raw Values'!$F7/Analysis!$P7))</f>
        <v>24.208984375140822</v>
      </c>
      <c r="O7" s="114">
        <f>('Raw Values'!$V7+N7)*(0.1^('Raw Values'!$F7/Analysis!$Q7))</f>
        <v>24.215412036778638</v>
      </c>
      <c r="P7" s="114">
        <f>('Raw Values'!$V7+O7)*(0.1^('Raw Values'!$F7/Analysis!$R7))</f>
        <v>24.217509471156745</v>
      </c>
      <c r="Q7" s="114">
        <f>('Raw Values'!$V7+P7)*(0.1^('Raw Values'!$F7/'Raw Values'!$AF7))</f>
        <v>24.218193892835782</v>
      </c>
      <c r="R7" s="114">
        <f>('Raw Values'!$V7+Q7)*(0.1^('Raw Values'!$F7/'Raw Values'!$AF7))</f>
        <v>24.21841722904102</v>
      </c>
      <c r="S7" s="114">
        <f>('Raw Values'!$V7+R7)*(0.1^('Raw Values'!$F7/'Raw Values'!$AF7))</f>
        <v>24.218490106715848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spans="1:36" ht="15.75" customHeight="1" x14ac:dyDescent="0.15">
      <c r="A8" s="35" t="s">
        <v>149</v>
      </c>
      <c r="B8" s="83">
        <f>'Raw Values'!F8</f>
        <v>0.17</v>
      </c>
      <c r="C8" s="15">
        <f>'Raw Values'!AM8</f>
        <v>52</v>
      </c>
      <c r="D8" s="22">
        <f>'Raw Values'!AE8</f>
        <v>0.34953200000000001</v>
      </c>
      <c r="E8" s="33" t="s">
        <v>236</v>
      </c>
      <c r="F8" s="176"/>
      <c r="G8" s="21">
        <v>0</v>
      </c>
      <c r="H8" s="114">
        <f>('Raw Values'!$AM8)*(0.1^('Raw Values'!$F8/'Raw Values'!$AE8))</f>
        <v>16.968315043189129</v>
      </c>
      <c r="I8" s="114">
        <f>('Raw Values'!$AM8+H8)*(0.1^('Raw Values'!$F8/'Raw Values'!$AE8))</f>
        <v>22.505309570206794</v>
      </c>
      <c r="J8" s="114">
        <f>('Raw Values'!$AM8+I8)*(0.1^('Raw Values'!$F8/'Raw Values'!$AE8))</f>
        <v>24.312107022646209</v>
      </c>
      <c r="K8" s="114">
        <f>('Raw Values'!$AM8+J8)*(0.1^('Raw Values'!$F8/Analysis!$M8))</f>
        <v>24.901689876342822</v>
      </c>
      <c r="L8" s="114">
        <f>('Raw Values'!$AM8+K8)*(0.1^('Raw Values'!$F8/Analysis!$N8))</f>
        <v>25.094078868757947</v>
      </c>
      <c r="M8" s="114">
        <f>('Raw Values'!$AM8+L8)*(0.1^('Raw Values'!$F8/Analysis!$O8))</f>
        <v>25.156858042491436</v>
      </c>
      <c r="N8" s="114">
        <f>('Raw Values'!$AM8+M8)*(0.1^('Raw Values'!$F8/Analysis!$P8))</f>
        <v>25.177343750146456</v>
      </c>
      <c r="O8" s="114">
        <f>('Raw Values'!$AM8+N8)*(0.1^('Raw Values'!$F8/Analysis!$Q8))</f>
        <v>25.184028518249786</v>
      </c>
      <c r="P8" s="114">
        <f>('Raw Values'!$AM8+O8)*(0.1^('Raw Values'!$F8/Analysis!$R8))</f>
        <v>25.186209850003014</v>
      </c>
      <c r="Q8" s="114">
        <f>('Raw Values'!$AM8+P8)*(0.1^('Raw Values'!$F8/'Raw Values'!$AF8))</f>
        <v>25.186921648549212</v>
      </c>
      <c r="R8" s="114">
        <f>('Raw Values'!$AM8+Q8)*(0.1^('Raw Values'!$F8/'Raw Values'!$AF8))</f>
        <v>25.187153918202661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spans="1:36" ht="15.75" customHeight="1" x14ac:dyDescent="0.15">
      <c r="A9" s="9" t="s">
        <v>150</v>
      </c>
      <c r="B9" s="83">
        <f>'Raw Values'!F9</f>
        <v>0.15</v>
      </c>
      <c r="C9" s="15">
        <f>'Raw Values'!V9</f>
        <v>52.45</v>
      </c>
      <c r="D9" s="22">
        <f>'Raw Values'!AE9</f>
        <v>0.34538799999999997</v>
      </c>
      <c r="E9" s="33" t="s">
        <v>236</v>
      </c>
      <c r="F9" s="176"/>
      <c r="G9" s="21">
        <v>0</v>
      </c>
      <c r="H9" s="114">
        <f>('Raw Values'!$V9)*(0.1^('Raw Values'!$F9/'Raw Values'!$AE9))</f>
        <v>19.295289876550136</v>
      </c>
      <c r="I9" s="114">
        <f>('Raw Values'!$V9+H9)*(0.1^('Raw Values'!$F9/'Raw Values'!$AE9))</f>
        <v>26.393635184845621</v>
      </c>
      <c r="J9" s="114">
        <f>('Raw Values'!$V9+I9)*(0.1^('Raw Values'!$F9/'Raw Values'!$AE9))</f>
        <v>29.004972274786727</v>
      </c>
      <c r="K9" s="114">
        <f>('Raw Values'!$V9+J9)*(0.1^('Raw Values'!$F9/Analysis!$M9))</f>
        <v>29.965630160693312</v>
      </c>
      <c r="L9" s="114">
        <f>('Raw Values'!$V9+K9)*(0.1^('Raw Values'!$F9/Analysis!$N9))</f>
        <v>30.319036688448534</v>
      </c>
      <c r="M9" s="114">
        <f>('Raw Values'!$V9+L9)*(0.1^('Raw Values'!$F9/Analysis!$O9))</f>
        <v>30.449047773239805</v>
      </c>
      <c r="N9" s="114">
        <f>('Raw Values'!$V9+M9)*(0.1^('Raw Values'!$F9/Analysis!$P9))</f>
        <v>30.496876211146613</v>
      </c>
      <c r="O9" s="114">
        <f>('Raw Values'!$V9+N9)*(0.1^('Raw Values'!$F9/Analysis!$Q9))</f>
        <v>30.51447132218102</v>
      </c>
      <c r="P9" s="114">
        <f>('Raw Values'!$V9+O9)*(0.1^('Raw Values'!$F9/Analysis!$R9))</f>
        <v>30.520944206219514</v>
      </c>
      <c r="Q9" s="114">
        <f>('Raw Values'!$V9+P9)*(0.1^('Raw Values'!$F9/'Raw Values'!$AF9))</f>
        <v>30.523325448809789</v>
      </c>
      <c r="R9" s="114">
        <f>('Raw Values'!$V9+Q9)*(0.1^('Raw Values'!$F9/'Raw Values'!$AF9))</f>
        <v>30.52420145960189</v>
      </c>
      <c r="S9" s="114">
        <f>('Raw Values'!$V9+R9)*(0.1^('Raw Values'!$F9/'Raw Values'!$AF9))</f>
        <v>30.524523726182796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spans="1:36" ht="15.75" customHeight="1" x14ac:dyDescent="0.15">
      <c r="A10" s="9" t="s">
        <v>151</v>
      </c>
      <c r="B10" s="83">
        <f>'Raw Values'!F10</f>
        <v>0.1</v>
      </c>
      <c r="C10" s="15">
        <f>'Raw Values'!V10</f>
        <v>35</v>
      </c>
      <c r="D10" s="22">
        <f>'Raw Values'!AE10</f>
        <v>0.24249999999999999</v>
      </c>
      <c r="E10" s="22">
        <f>'Raw Values'!AF10</f>
        <v>0.34538799999999997</v>
      </c>
      <c r="F10" s="176"/>
      <c r="G10" s="21">
        <v>0</v>
      </c>
      <c r="H10" s="114">
        <f>('Raw Values'!$V10)*(0.1^('Raw Values'!$F10/'Raw Values'!$AE10))</f>
        <v>13.542439694874885</v>
      </c>
      <c r="I10" s="114">
        <f>('Raw Values'!$V10+H10)*(0.1^('Raw Values'!$F10/'Raw Values'!$AE10))</f>
        <v>18.782373205998397</v>
      </c>
      <c r="J10" s="114">
        <f>('Raw Values'!$V10+I10)*(0.1^('Raw Values'!$F10/'Raw Values'!$AE10))</f>
        <v>20.809844165413946</v>
      </c>
      <c r="K10" s="114">
        <f>('Raw Values'!$V10+J10)*(0.1^('Raw Values'!$F10/Analysis!$M10))</f>
        <v>22.798471443209969</v>
      </c>
      <c r="L10" s="114">
        <f>('Raw Values'!$V10+K10)*(0.1^('Raw Values'!$F10/Analysis!$N10))</f>
        <v>24.781605692788933</v>
      </c>
      <c r="M10" s="114">
        <f>('Raw Values'!$V10+L10)*(0.1^('Raw Values'!$F10/Analysis!$O10))</f>
        <v>26.769666540000514</v>
      </c>
      <c r="N10" s="114">
        <f>('Raw Values'!$V10+M10)*(0.1^('Raw Values'!$F10/Analysis!$P10))</f>
        <v>28.765543368674177</v>
      </c>
      <c r="O10" s="114">
        <f>('Raw Values'!$V10+N10)*(0.1^('Raw Values'!$F10/Analysis!$Q10))</f>
        <v>30.769595328651977</v>
      </c>
      <c r="P10" s="114">
        <f>('Raw Values'!$V10+O10)*(0.1^('Raw Values'!$F10/Analysis!$R10))</f>
        <v>32.781354338384247</v>
      </c>
      <c r="Q10" s="114">
        <f>('Raw Values'!$V10+P10)*(0.1^('Raw Values'!$F10/'Raw Values'!$AF10))</f>
        <v>34.800123524328541</v>
      </c>
      <c r="R10" s="114">
        <f>('Raw Values'!$V10+Q10)*(0.1^('Raw Values'!$F10/'Raw Values'!$AF10))</f>
        <v>35.836594656009446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6" ht="15.75" customHeight="1" x14ac:dyDescent="0.15">
      <c r="A11" s="36" t="s">
        <v>152</v>
      </c>
      <c r="B11" s="83">
        <f>'Raw Values'!F11</f>
        <v>0.12</v>
      </c>
      <c r="C11" s="15">
        <f>'Raw Values'!V11</f>
        <v>45</v>
      </c>
      <c r="D11" s="22">
        <f>'Raw Values'!AE11</f>
        <v>0.39100000000000001</v>
      </c>
      <c r="E11" s="22">
        <f>'Raw Values'!AF11</f>
        <v>0.39100000000000001</v>
      </c>
      <c r="F11" s="176"/>
      <c r="G11" s="21">
        <v>0</v>
      </c>
      <c r="H11" s="114">
        <f>('Raw Values'!$V11)*(0.1^('Raw Values'!$F11/'Raw Values'!$AE11))</f>
        <v>22.197657336011289</v>
      </c>
      <c r="I11" s="114">
        <f>('Raw Values'!$V11+H11)*(0.1^('Raw Values'!$F11/'Raw Values'!$AE11))</f>
        <v>33.147346029499644</v>
      </c>
      <c r="J11" s="114">
        <f>('Raw Values'!$V11+I11)*(0.1^('Raw Values'!$F11/'Raw Values'!$AE11))</f>
        <v>38.548622419589684</v>
      </c>
      <c r="K11" s="114">
        <f>('Raw Values'!$V11+J11)*(0.1^('Raw Values'!$F11/Analysis!$M11))</f>
        <v>41.212970919240945</v>
      </c>
      <c r="L11" s="114">
        <f>('Raw Values'!$V11+K11)*(0.1^('Raw Values'!$F11/Analysis!$N11))</f>
        <v>42.527244141884822</v>
      </c>
      <c r="M11" s="114">
        <f>('Raw Values'!$V11+L11)*(0.1^('Raw Values'!$F11/Analysis!$O11))</f>
        <v>43.175550511710242</v>
      </c>
      <c r="N11" s="114">
        <f>('Raw Values'!$V11+M11)*(0.1^('Raw Values'!$F11/Analysis!$P11))</f>
        <v>43.495347903846643</v>
      </c>
      <c r="O11" s="114">
        <f>('Raw Values'!$V11+N11)*(0.1^('Raw Values'!$F11/Analysis!$Q11))</f>
        <v>43.653097968904284</v>
      </c>
      <c r="P11" s="114">
        <f>('Raw Values'!$V11+O11)*(0.1^('Raw Values'!$F11/Analysis!$R11))</f>
        <v>43.730913121990575</v>
      </c>
      <c r="Q11" s="114">
        <f>('Raw Values'!$V11+P11)*(0.1^('Raw Values'!$F11/'Raw Values'!$AF11))</f>
        <v>43.769297879851877</v>
      </c>
      <c r="R11" s="114">
        <f>('Raw Values'!$V11+Q11)*(0.1^('Raw Values'!$F11/'Raw Values'!$AF11))</f>
        <v>43.788232362117014</v>
      </c>
      <c r="S11" s="114">
        <f>('Raw Values'!$V11+R11)*(0.1^('Raw Values'!$F11/'Raw Values'!$AF11))</f>
        <v>43.797572387653823</v>
      </c>
      <c r="T11" s="114">
        <f>('Raw Values'!$V11+S11)*(0.1^('Raw Values'!$F11/'Raw Values'!$AF11))</f>
        <v>43.802179647351053</v>
      </c>
      <c r="U11" s="114">
        <f>('Raw Values'!$V11+T11)*(0.1^('Raw Values'!$F11/'Raw Values'!$AF11))</f>
        <v>43.804452322284767</v>
      </c>
      <c r="V11" s="114">
        <f>('Raw Values'!$V11+U11)*(0.1^('Raw Values'!$F11/'Raw Values'!$AF11))</f>
        <v>43.805573390271761</v>
      </c>
      <c r="W11" s="114">
        <f>('Raw Values'!$V11+V11)*(0.1^('Raw Values'!$F11/'Raw Values'!$AF11))</f>
        <v>43.806126392116781</v>
      </c>
      <c r="X11" s="114">
        <f>('Raw Values'!$V11+W11)*(0.1^('Raw Values'!$F11/'Raw Values'!$AF11))</f>
        <v>43.806399177571485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6" ht="15.75" customHeight="1" x14ac:dyDescent="0.15">
      <c r="A12" s="39"/>
      <c r="B12" s="101"/>
      <c r="C12" s="177"/>
      <c r="D12" s="178"/>
      <c r="E12" s="178"/>
      <c r="F12" s="179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spans="1:36" ht="15.75" customHeight="1" x14ac:dyDescent="0.15">
      <c r="A13" s="1" t="s">
        <v>53</v>
      </c>
      <c r="B13" s="69" t="s">
        <v>95</v>
      </c>
      <c r="C13" s="4" t="s">
        <v>234</v>
      </c>
      <c r="D13" s="7" t="s">
        <v>27</v>
      </c>
      <c r="E13" s="7" t="s">
        <v>235</v>
      </c>
      <c r="F13" s="174"/>
      <c r="G13" s="175">
        <v>1</v>
      </c>
      <c r="H13" s="175">
        <v>2</v>
      </c>
      <c r="I13" s="175">
        <v>3</v>
      </c>
      <c r="J13" s="175">
        <v>4</v>
      </c>
      <c r="K13" s="175">
        <v>5</v>
      </c>
      <c r="L13" s="175">
        <v>6</v>
      </c>
      <c r="M13" s="175">
        <v>7</v>
      </c>
      <c r="N13" s="175">
        <v>8</v>
      </c>
      <c r="O13" s="181"/>
      <c r="P13" s="182"/>
      <c r="Q13" s="182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spans="1:36" ht="15.75" customHeight="1" x14ac:dyDescent="0.15">
      <c r="A14" s="35" t="s">
        <v>153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33" t="s">
        <v>236</v>
      </c>
      <c r="F14" s="176"/>
      <c r="G14" s="21">
        <v>0</v>
      </c>
      <c r="H14" s="114">
        <f>('Raw Values'!$V14)*(0.1^('Raw Values'!$F14/'Raw Values'!$AE14))</f>
        <v>8.3635262239327518E-2</v>
      </c>
      <c r="I14" s="114">
        <f>('Raw Values'!$V14+H14)*(0.1^('Raw Values'!$F14/'Raw Values'!$AE14))</f>
        <v>8.4260361174970155E-2</v>
      </c>
      <c r="J14" s="114">
        <f>('Raw Values'!$V14+I14)*(0.1^('Raw Values'!$F14/Analysis!$L14))</f>
        <v>8.4265033231574971E-2</v>
      </c>
      <c r="K14" s="114">
        <f>('Raw Values'!$V14+J14)*(0.1^('Raw Values'!$F14/Analysis!$M14))</f>
        <v>8.4265068151027994E-2</v>
      </c>
      <c r="L14" s="114"/>
      <c r="M14" s="114"/>
      <c r="N14" s="114"/>
      <c r="O14" s="184"/>
      <c r="P14" s="185"/>
      <c r="Q14" s="177"/>
      <c r="R14" s="186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spans="1:36" ht="15.75" customHeight="1" x14ac:dyDescent="0.15">
      <c r="A15" s="9" t="s">
        <v>155</v>
      </c>
      <c r="B15" s="83">
        <f>'Raw Values'!F15</f>
        <v>0.88</v>
      </c>
      <c r="C15" s="15">
        <f>'Raw Values'!V15</f>
        <v>9.7200000000000006</v>
      </c>
      <c r="D15" s="22">
        <f>'Raw Values'!AE15</f>
        <v>0.46051700000000001</v>
      </c>
      <c r="E15" s="33" t="s">
        <v>236</v>
      </c>
      <c r="F15" s="176"/>
      <c r="G15" s="21">
        <v>0</v>
      </c>
      <c r="H15" s="114">
        <f>('Raw Values'!$V15)*(0.1^('Raw Values'!$F15/'Raw Values'!$AE15))</f>
        <v>0.11933572265163503</v>
      </c>
      <c r="I15" s="114">
        <f>('Raw Values'!$V15+H15)*(0.1^('Raw Values'!$F15/'Raw Values'!$AE15))</f>
        <v>0.1208008476208519</v>
      </c>
      <c r="J15" s="114">
        <f>('Raw Values'!$V15+I15)*(0.1^('Raw Values'!$F15/Analysis!$L15))</f>
        <v>0.12081883545490298</v>
      </c>
      <c r="K15" s="114">
        <f>('Raw Values'!$V15+J15)*(0.1^('Raw Values'!$F15/Analysis!$M15))</f>
        <v>0.1208190562976165</v>
      </c>
      <c r="L15" s="114">
        <f>('Raw Values'!$V15+K15)*(0.1^('Raw Values'!$F15/'Raw Values'!$AF15))</f>
        <v>0.12081905900897706</v>
      </c>
      <c r="M15" s="114">
        <f>('Raw Values'!$V15+L15)*(0.1^('Raw Values'!$F15/'Raw Values'!$AF15))</f>
        <v>0.12081905904226535</v>
      </c>
      <c r="N15" s="114">
        <f>('Raw Values'!$V15+M15)*(0.1^('Raw Values'!$F15/'Raw Values'!$AF15))</f>
        <v>0.12081905904267405</v>
      </c>
      <c r="O15" s="184"/>
      <c r="P15" s="185"/>
      <c r="Q15" s="187"/>
      <c r="R15" s="186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spans="1:36" ht="15.75" customHeight="1" x14ac:dyDescent="0.15">
      <c r="A16" s="36" t="s">
        <v>156</v>
      </c>
      <c r="B16" s="83">
        <f>'Raw Values'!F16</f>
        <v>0.85</v>
      </c>
      <c r="C16" s="15">
        <f>'Raw Values'!V16</f>
        <v>9.7200000000000006</v>
      </c>
      <c r="D16" s="22">
        <f>'Raw Values'!AE16</f>
        <v>0.46051700000000001</v>
      </c>
      <c r="E16" s="33" t="s">
        <v>236</v>
      </c>
      <c r="F16" s="176"/>
      <c r="G16" s="21">
        <v>0</v>
      </c>
      <c r="H16" s="114">
        <f>('Raw Values'!$V16)*(0.1^('Raw Values'!$F16/'Raw Values'!$AE16))</f>
        <v>0.13864832979732933</v>
      </c>
      <c r="I16" s="114">
        <f>('Raw Values'!$V16+H16)*(0.1^('Raw Values'!$F16/'Raw Values'!$AE16))</f>
        <v>0.14062604166518827</v>
      </c>
      <c r="J16" s="114">
        <f>('Raw Values'!$V16+I16)*(0.1^('Raw Values'!$F16/Analysis!$L16))</f>
        <v>0.14065425220503386</v>
      </c>
      <c r="K16" s="114">
        <f>('Raw Values'!$V16+J16)*(0.1^('Raw Values'!$F16/Analysis!$M16))</f>
        <v>0.14065465460670384</v>
      </c>
      <c r="L16" s="114">
        <f>('Raw Values'!$V16+K16)*(0.1^('Raw Values'!$F16/'Raw Values'!$AF16))</f>
        <v>0.14065466034665441</v>
      </c>
      <c r="M16" s="114">
        <f>('Raw Values'!$V16+L16)*(0.1^('Raw Values'!$F16/'Raw Values'!$AF16))</f>
        <v>0.14065466042853039</v>
      </c>
      <c r="N16" s="114"/>
      <c r="O16" s="184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</row>
    <row r="17" spans="1:36" ht="15.75" customHeight="1" x14ac:dyDescent="0.15">
      <c r="A17" s="9" t="s">
        <v>157</v>
      </c>
      <c r="B17" s="83">
        <f>'Raw Values'!F17</f>
        <v>0.35</v>
      </c>
      <c r="C17" s="15">
        <f>'Raw Values'!V17</f>
        <v>8.83</v>
      </c>
      <c r="D17" s="22">
        <f>'Raw Values'!AE17</f>
        <v>0.50656900000000005</v>
      </c>
      <c r="E17" s="33" t="s">
        <v>236</v>
      </c>
      <c r="F17" s="176"/>
      <c r="G17" s="21">
        <v>0</v>
      </c>
      <c r="H17" s="114">
        <f>('Raw Values'!$V17)*(0.1^('Raw Values'!$F17/'Raw Values'!$AE17))</f>
        <v>1.7990285083563364</v>
      </c>
      <c r="I17" s="114">
        <f>('Raw Values'!$V17+H17)*(0.1^('Raw Values'!$F17/'Raw Values'!$AE17))</f>
        <v>2.1655634544354787</v>
      </c>
      <c r="J17" s="114">
        <f>('Raw Values'!$V17+I17)*(0.1^('Raw Values'!$F17/Analysis!$L17))</f>
        <v>2.2402414631903174</v>
      </c>
      <c r="K17" s="114">
        <f>('Raw Values'!$V17+J17)*(0.1^('Raw Values'!$F17/Analysis!$M17))</f>
        <v>2.2554563971311148</v>
      </c>
      <c r="L17" s="114">
        <f>('Raw Values'!$V17+K17)*(0.1^('Raw Values'!$F17/'Raw Values'!$AF17))</f>
        <v>2.2585562951959224</v>
      </c>
      <c r="M17" s="114">
        <f>('Raw Values'!$V17+L17)*(0.1^('Raw Values'!$F17/'Raw Values'!$AF17))</f>
        <v>2.2591878699401566</v>
      </c>
      <c r="N17" s="114"/>
      <c r="O17" s="184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</row>
    <row r="18" spans="1:36" ht="15.75" customHeight="1" x14ac:dyDescent="0.15">
      <c r="A18" s="39"/>
      <c r="B18" s="101"/>
      <c r="C18" s="177"/>
      <c r="D18" s="178"/>
      <c r="E18" s="178"/>
      <c r="F18" s="179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spans="1:36" ht="15.75" customHeight="1" x14ac:dyDescent="0.15">
      <c r="A19" s="1" t="s">
        <v>59</v>
      </c>
      <c r="B19" s="69" t="s">
        <v>95</v>
      </c>
      <c r="C19" s="4" t="s">
        <v>234</v>
      </c>
      <c r="D19" s="7" t="s">
        <v>27</v>
      </c>
      <c r="E19" s="7" t="s">
        <v>235</v>
      </c>
      <c r="F19" s="174"/>
      <c r="G19" s="175">
        <v>1</v>
      </c>
      <c r="H19" s="175">
        <v>2</v>
      </c>
      <c r="I19" s="175">
        <v>3</v>
      </c>
      <c r="J19" s="175">
        <v>4</v>
      </c>
      <c r="K19" s="175">
        <v>5</v>
      </c>
      <c r="L19" s="175">
        <v>6</v>
      </c>
      <c r="M19" s="175">
        <v>7</v>
      </c>
      <c r="N19" s="175">
        <v>8</v>
      </c>
      <c r="O19" s="175">
        <v>9</v>
      </c>
      <c r="P19" s="175">
        <v>10</v>
      </c>
      <c r="Q19" s="175">
        <v>11</v>
      </c>
      <c r="R19" s="175">
        <v>12</v>
      </c>
      <c r="S19" s="175">
        <v>13</v>
      </c>
      <c r="T19" s="175">
        <v>14</v>
      </c>
      <c r="U19" s="175">
        <v>15</v>
      </c>
      <c r="V19" s="175">
        <v>16</v>
      </c>
      <c r="W19" s="175">
        <v>17</v>
      </c>
      <c r="X19" s="175">
        <v>18</v>
      </c>
      <c r="Y19" s="175">
        <v>19</v>
      </c>
      <c r="Z19" s="175">
        <v>20</v>
      </c>
      <c r="AA19" s="175">
        <v>21</v>
      </c>
      <c r="AB19" s="175">
        <v>22</v>
      </c>
      <c r="AC19" s="175">
        <v>23</v>
      </c>
      <c r="AD19" s="175">
        <v>24</v>
      </c>
      <c r="AE19" s="175">
        <v>25</v>
      </c>
      <c r="AF19" s="175">
        <v>26</v>
      </c>
      <c r="AG19" s="175">
        <v>27</v>
      </c>
      <c r="AH19" s="175">
        <v>28</v>
      </c>
      <c r="AI19" s="175">
        <v>29</v>
      </c>
      <c r="AJ19" s="175">
        <v>30</v>
      </c>
    </row>
    <row r="20" spans="1:36" ht="15.75" customHeight="1" x14ac:dyDescent="0.15">
      <c r="A20" s="9" t="s">
        <v>158</v>
      </c>
      <c r="B20" s="83">
        <f>'Raw Values'!F20</f>
        <v>0.08</v>
      </c>
      <c r="C20" s="15">
        <f>'Raw Values'!V20</f>
        <v>2.88</v>
      </c>
      <c r="D20" s="22">
        <f>'Raw Values'!AE20</f>
        <v>0.33157199999999998</v>
      </c>
      <c r="E20" s="33" t="s">
        <v>236</v>
      </c>
      <c r="F20" s="176"/>
      <c r="G20" s="21">
        <v>0</v>
      </c>
      <c r="H20" s="114">
        <f>('Raw Values'!$V20)*(0.1^('Raw Values'!$F20/'Raw Values'!$AE20))</f>
        <v>1.652409150173596</v>
      </c>
      <c r="I20" s="114">
        <f>('Raw Values'!$V20+H20)*(0.1^('Raw Values'!$F20/'Raw Values'!$AE20))</f>
        <v>2.6004841500268685</v>
      </c>
      <c r="J20" s="114">
        <f>('Raw Values'!$V20+I20)*(0.1^('Raw Values'!$F20/Analysis!$L20))</f>
        <v>3.144445193363111</v>
      </c>
      <c r="K20" s="114">
        <f>('Raw Values'!$V20+J20)*(0.1^('Raw Values'!$F20/Analysis!$M20))</f>
        <v>3.4565445702196329</v>
      </c>
      <c r="L20" s="114">
        <f>('Raw Values'!$V20+K20)*(0.1^('Raw Values'!$F20/'Raw Values'!$AF20))</f>
        <v>3.6356125792756036</v>
      </c>
      <c r="M20" s="114">
        <f>('Raw Values'!$V20+L20)*(0.1^('Raw Values'!$F20/'Raw Values'!$AF20))</f>
        <v>3.7383534183962475</v>
      </c>
      <c r="N20" s="114">
        <f>('Raw Values'!$V20+M20)*(0.1^('Raw Values'!$F20/'Raw Values'!$AF20))</f>
        <v>3.7973013012641172</v>
      </c>
      <c r="O20" s="114">
        <f>('Raw Values'!$V20+N20)*(0.1^('Raw Values'!$F20/'Raw Values'!$AF20))</f>
        <v>3.8311228363454473</v>
      </c>
      <c r="P20" s="114">
        <f>('Raw Values'!$V20+O20)*(0.1^('Raw Values'!$F20/'Raw Values'!$AF20))</f>
        <v>3.8505280495542342</v>
      </c>
      <c r="Q20" s="114">
        <f>('Raw Values'!$V20+P20)*(0.1^('Raw Values'!$F20/'Raw Values'!$AF20))</f>
        <v>3.8616618522859247</v>
      </c>
      <c r="R20" s="114">
        <f>('Raw Values'!$V20+Q20)*(0.1^('Raw Values'!$F20/'Raw Values'!$AF20))</f>
        <v>3.8680499069769221</v>
      </c>
      <c r="S20" s="114">
        <f>('Raw Values'!$V20+R20)*(0.1^('Raw Values'!$F20/'Raw Values'!$AF20))</f>
        <v>3.8717150736516492</v>
      </c>
      <c r="T20" s="114">
        <f>('Raw Values'!$V20+S20)*(0.1^('Raw Values'!$F20/'Raw Values'!$AF20))</f>
        <v>3.8738179746760348</v>
      </c>
      <c r="U20" s="114">
        <f>('Raw Values'!$V20+T20)*(0.1^('Raw Values'!$F20/'Raw Values'!$AF20))</f>
        <v>3.8750245208199945</v>
      </c>
      <c r="V20" s="114">
        <f>('Raw Values'!$V20+U20)*(0.1^('Raw Values'!$F20/'Raw Values'!$AF20))</f>
        <v>3.8757167805034616</v>
      </c>
      <c r="W20" s="114">
        <f>('Raw Values'!$V20+V20)*(0.1^('Raw Values'!$F20/'Raw Values'!$AF20))</f>
        <v>3.8761139666962592</v>
      </c>
      <c r="X20" s="114">
        <f>('Raw Values'!$V20+W20)*(0.1^('Raw Values'!$F20/'Raw Values'!$AF20))</f>
        <v>3.8763418535362946</v>
      </c>
      <c r="Y20" s="114">
        <f>('Raw Values'!$V20+X20)*(0.1^('Raw Values'!$F20/'Raw Values'!$AF20))</f>
        <v>3.8764726043347943</v>
      </c>
      <c r="Z20" s="114">
        <f>('Raw Values'!$V20+Y20)*(0.1^('Raw Values'!$F20/'Raw Values'!$AF20))</f>
        <v>3.8765476230208473</v>
      </c>
      <c r="AA20" s="114">
        <f>('Raw Values'!$V20+Z20)*(0.1^('Raw Values'!$F20/'Raw Values'!$AF20))</f>
        <v>3.876590665230315</v>
      </c>
      <c r="AB20" s="114">
        <f>('Raw Values'!$V20+AA20)*(0.1^('Raw Values'!$F20/'Raw Values'!$AF20))</f>
        <v>3.8766153608347484</v>
      </c>
      <c r="AC20" s="114">
        <f>('Raw Values'!$V20+AB20)*(0.1^('Raw Values'!$F20/'Raw Values'!$AF20))</f>
        <v>3.8766295300162543</v>
      </c>
      <c r="AD20" s="114">
        <f>('Raw Values'!$V20+AC20)*(0.1^('Raw Values'!$F20/'Raw Values'!$AF20))</f>
        <v>3.8766376596291607</v>
      </c>
      <c r="AE20" s="114">
        <f>('Raw Values'!$V20+AD20)*(0.1^('Raw Values'!$F20/'Raw Values'!$AF20))</f>
        <v>3.8766423240203944</v>
      </c>
      <c r="AF20" s="114">
        <f>('Raw Values'!$V20+AE20)*(0.1^('Raw Values'!$F20/'Raw Values'!$AF20))</f>
        <v>3.8766450002296842</v>
      </c>
      <c r="AG20" s="114">
        <f>('Raw Values'!$V20+AF20)*(0.1^('Raw Values'!$F20/'Raw Values'!$AF20))</f>
        <v>3.8766465357132667</v>
      </c>
      <c r="AH20" s="114">
        <f>('Raw Values'!$V20+AG20)*(0.1^('Raw Values'!$F20/'Raw Values'!$AF20))</f>
        <v>3.876647416701851</v>
      </c>
      <c r="AI20" s="114">
        <f>('Raw Values'!$V20+AH20)*(0.1^('Raw Values'!$F20/'Raw Values'!$AF20))</f>
        <v>3.8766479221718502</v>
      </c>
      <c r="AJ20" s="114">
        <f>('Raw Values'!$V20+AI20)*(0.1^('Raw Values'!$F20/'Raw Values'!$AF20))</f>
        <v>3.8766482121868679</v>
      </c>
    </row>
    <row r="21" spans="1:36" ht="15.75" customHeight="1" x14ac:dyDescent="0.15">
      <c r="A21" s="36" t="s">
        <v>160</v>
      </c>
      <c r="B21" s="83">
        <f>'Raw Values'!F21</f>
        <v>7.4999999999999997E-2</v>
      </c>
      <c r="C21" s="15">
        <f>'Raw Values'!V21</f>
        <v>4.76</v>
      </c>
      <c r="D21" s="22">
        <f>'Raw Values'!AE21</f>
        <v>0.399729</v>
      </c>
      <c r="E21" s="33" t="s">
        <v>236</v>
      </c>
      <c r="F21" s="176"/>
      <c r="G21" s="21">
        <v>0</v>
      </c>
      <c r="H21" s="114">
        <f>('Raw Values'!$V21)*(0.1^('Raw Values'!$F21/'Raw Values'!$AE21))</f>
        <v>3.0901519508750548</v>
      </c>
      <c r="I21" s="114">
        <f>('Raw Values'!$V21+H21)*(0.1^('Raw Values'!$F21/'Raw Values'!$AE21))</f>
        <v>5.0962525978281867</v>
      </c>
      <c r="J21" s="114">
        <f>('Raw Values'!$V21+I21)*(0.1^('Raw Values'!$F21/Analysis!$L21))</f>
        <v>6.398596259137836</v>
      </c>
      <c r="K21" s="114">
        <f>('Raw Values'!$V21+J21)*(0.1^('Raw Values'!$F21/Analysis!$M21))</f>
        <v>7.2440668065550158</v>
      </c>
      <c r="L21" s="114">
        <f>('Raw Values'!$V21+K21)*(0.1^('Raw Values'!$F21/'Raw Values'!$AF21))</f>
        <v>7.7929391724181674</v>
      </c>
      <c r="M21" s="114">
        <f>('Raw Values'!$V21+L21)*(0.1^('Raw Values'!$F21/'Raw Values'!$AF21))</f>
        <v>8.1492624942991387</v>
      </c>
      <c r="N21" s="114">
        <f>('Raw Values'!$V21+M21)*(0.1^('Raw Values'!$F21/'Raw Values'!$AF21))</f>
        <v>8.3805845968732484</v>
      </c>
      <c r="O21" s="114">
        <f>('Raw Values'!$V21+N21)*(0.1^('Raw Values'!$F21/'Raw Values'!$AF21))</f>
        <v>8.5307569595938162</v>
      </c>
      <c r="P21" s="114">
        <f>('Raw Values'!$V21+O21)*(0.1^('Raw Values'!$F21/'Raw Values'!$AF21))</f>
        <v>8.6282475939695473</v>
      </c>
      <c r="Q21" s="114">
        <f>('Raw Values'!$V21+P21)*(0.1^('Raw Values'!$F21/'Raw Values'!$AF21))</f>
        <v>8.6915376935511048</v>
      </c>
      <c r="R21" s="114">
        <f>('Raw Values'!$V21+Q21)*(0.1^('Raw Values'!$F21/'Raw Values'!$AF21))</f>
        <v>8.7326250936966989</v>
      </c>
      <c r="S21" s="114">
        <f>('Raw Values'!$V21+R21)*(0.1^('Raw Values'!$F21/'Raw Values'!$AF21))</f>
        <v>8.7592986881749102</v>
      </c>
      <c r="T21" s="114">
        <f>('Raw Values'!$V21+S21)*(0.1^('Raw Values'!$F21/'Raw Values'!$AF21))</f>
        <v>8.7766149612870326</v>
      </c>
      <c r="U21" s="114">
        <f>('Raw Values'!$V21+T21)*(0.1^('Raw Values'!$F21/'Raw Values'!$AF21))</f>
        <v>8.7878565400978115</v>
      </c>
      <c r="V21" s="114">
        <f>('Raw Values'!$V21+U21)*(0.1^('Raw Values'!$F21/'Raw Values'!$AF21))</f>
        <v>8.7951544784787021</v>
      </c>
      <c r="W21" s="114">
        <f>('Raw Values'!$V21+V21)*(0.1^('Raw Values'!$F21/'Raw Values'!$AF21))</f>
        <v>8.7998922386730456</v>
      </c>
      <c r="X21" s="114">
        <f>('Raw Values'!$V21+W21)*(0.1^('Raw Values'!$F21/'Raw Values'!$AF21))</f>
        <v>8.8029679527292082</v>
      </c>
      <c r="Y21" s="114">
        <f>('Raw Values'!$V21+X21)*(0.1^('Raw Values'!$F21/'Raw Values'!$AF21))</f>
        <v>8.8049646804163899</v>
      </c>
      <c r="Z21" s="114">
        <f>('Raw Values'!$V21+Y21)*(0.1^('Raw Values'!$F21/'Raw Values'!$AF21))</f>
        <v>8.8062609392310769</v>
      </c>
      <c r="AA21" s="114">
        <f>('Raw Values'!$V21+Z21)*(0.1^('Raw Values'!$F21/'Raw Values'!$AF21))</f>
        <v>8.8071024595472629</v>
      </c>
      <c r="AB21" s="114">
        <f>('Raw Values'!$V21+AA21)*(0.1^('Raw Values'!$F21/'Raw Values'!$AF21))</f>
        <v>8.8076487674562465</v>
      </c>
      <c r="AC21" s="114">
        <f>('Raw Values'!$V21+AB21)*(0.1^('Raw Values'!$F21/'Raw Values'!$AF21))</f>
        <v>8.808003425954297</v>
      </c>
      <c r="AD21" s="114">
        <f>('Raw Values'!$V21+AC21)*(0.1^('Raw Values'!$F21/'Raw Values'!$AF21))</f>
        <v>8.808233667267249</v>
      </c>
      <c r="AE21" s="114">
        <f>('Raw Values'!$V21+AD21)*(0.1^('Raw Values'!$F21/'Raw Values'!$AF21))</f>
        <v>8.8083831379904396</v>
      </c>
      <c r="AF21" s="114">
        <f>('Raw Values'!$V21+AE21)*(0.1^('Raw Values'!$F21/'Raw Values'!$AF21))</f>
        <v>8.8084801731263358</v>
      </c>
      <c r="AG21" s="114">
        <f>('Raw Values'!$V21+AF21)*(0.1^('Raw Values'!$F21/'Raw Values'!$AF21))</f>
        <v>8.8085431675201367</v>
      </c>
      <c r="AH21" s="114">
        <f>('Raw Values'!$V21+AG21)*(0.1^('Raw Values'!$F21/'Raw Values'!$AF21))</f>
        <v>8.8085840629505778</v>
      </c>
      <c r="AI21" s="114">
        <f>('Raw Values'!$V21+AH21)*(0.1^('Raw Values'!$F21/'Raw Values'!$AF21))</f>
        <v>8.8086106119199385</v>
      </c>
      <c r="AJ21" s="114">
        <f>('Raw Values'!$V21+AI21)*(0.1^('Raw Values'!$F21/'Raw Values'!$AF21))</f>
        <v>8.8086278472874735</v>
      </c>
    </row>
    <row r="22" spans="1:36" ht="15.75" customHeight="1" x14ac:dyDescent="0.15">
      <c r="A22" s="9" t="s">
        <v>161</v>
      </c>
      <c r="B22" s="83">
        <f>'Raw Values'!F22</f>
        <v>0.08</v>
      </c>
      <c r="C22" s="15">
        <f>'Raw Values'!V22</f>
        <v>2.1800000000000002</v>
      </c>
      <c r="D22" s="22">
        <f>'Raw Values'!AE22</f>
        <v>0.43749100000000002</v>
      </c>
      <c r="E22" s="33" t="s">
        <v>236</v>
      </c>
      <c r="F22" s="176"/>
      <c r="G22" s="21">
        <v>0</v>
      </c>
      <c r="H22" s="114">
        <f>('Raw Values'!$V22)*(0.1^('Raw Values'!$F22/'Raw Values'!$AE22))</f>
        <v>1.4308548800310106</v>
      </c>
      <c r="I22" s="114">
        <f>('Raw Values'!$V22+H22)*(0.1^('Raw Values'!$F22/'Raw Values'!$AE22))</f>
        <v>2.3700042780624591</v>
      </c>
      <c r="J22" s="114">
        <f>('Raw Values'!$V22+I22)*(0.1^('Raw Values'!$F22/Analysis!$L22))</f>
        <v>2.9864201034071769</v>
      </c>
      <c r="K22" s="114">
        <f>('Raw Values'!$V22+J22)*(0.1^('Raw Values'!$F22/Analysis!$M22))</f>
        <v>3.3910079895644389</v>
      </c>
      <c r="L22" s="114">
        <f>('Raw Values'!$V22+K22)*(0.1^('Raw Values'!$F22/'Raw Values'!$AF22))</f>
        <v>3.6565614534679018</v>
      </c>
      <c r="M22" s="114">
        <f>('Raw Values'!$V22+L22)*(0.1^('Raw Values'!$F22/'Raw Values'!$AF22))</f>
        <v>3.8308589166492824</v>
      </c>
      <c r="N22" s="114">
        <f>('Raw Values'!$V22+M22)*(0.1^('Raw Values'!$F22/'Raw Values'!$AF22))</f>
        <v>3.9452600064520822</v>
      </c>
      <c r="O22" s="114">
        <f>('Raw Values'!$V22+N22)*(0.1^('Raw Values'!$F22/'Raw Values'!$AF22))</f>
        <v>4.0203477851792391</v>
      </c>
      <c r="P22" s="114">
        <f>('Raw Values'!$V22+O22)*(0.1^('Raw Values'!$F22/'Raw Values'!$AF22))</f>
        <v>4.0696320579418268</v>
      </c>
      <c r="Q22" s="114">
        <f>('Raw Values'!$V22+P22)*(0.1^('Raw Values'!$F22/'Raw Values'!$AF22))</f>
        <v>4.1019800589469311</v>
      </c>
      <c r="R22" s="114">
        <f>('Raw Values'!$V22+Q22)*(0.1^('Raw Values'!$F22/'Raw Values'!$AF22))</f>
        <v>4.1232118456888589</v>
      </c>
      <c r="S22" s="114">
        <f>('Raw Values'!$V22+R22)*(0.1^('Raw Values'!$F22/'Raw Values'!$AF22))</f>
        <v>4.137147444620723</v>
      </c>
      <c r="T22" s="114">
        <f>('Raw Values'!$V22+S22)*(0.1^('Raw Values'!$F22/'Raw Values'!$AF22))</f>
        <v>4.146294150922472</v>
      </c>
      <c r="U22" s="114">
        <f>('Raw Values'!$V22+T22)*(0.1^('Raw Values'!$F22/'Raw Values'!$AF22))</f>
        <v>4.1522976414491088</v>
      </c>
      <c r="V22" s="114">
        <f>('Raw Values'!$V22+U22)*(0.1^('Raw Values'!$F22/'Raw Values'!$AF22))</f>
        <v>4.1562380651726221</v>
      </c>
      <c r="W22" s="114">
        <f>('Raw Values'!$V22+V22)*(0.1^('Raw Values'!$F22/'Raw Values'!$AF22))</f>
        <v>4.1588243837571079</v>
      </c>
      <c r="X22" s="114">
        <f>('Raw Values'!$V22+W22)*(0.1^('Raw Values'!$F22/'Raw Values'!$AF22))</f>
        <v>4.1605219280543215</v>
      </c>
      <c r="Y22" s="114">
        <f>('Raw Values'!$V22+X22)*(0.1^('Raw Values'!$F22/'Raw Values'!$AF22))</f>
        <v>4.1616361205046601</v>
      </c>
      <c r="Z22" s="114">
        <f>('Raw Values'!$V22+Y22)*(0.1^('Raw Values'!$F22/'Raw Values'!$AF22))</f>
        <v>4.1623674267912927</v>
      </c>
      <c r="AA22" s="114">
        <f>('Raw Values'!$V22+Z22)*(0.1^('Raw Values'!$F22/'Raw Values'!$AF22))</f>
        <v>4.1628474236578183</v>
      </c>
      <c r="AB22" s="114">
        <f>('Raw Values'!$V22+AA22)*(0.1^('Raw Values'!$F22/'Raw Values'!$AF22))</f>
        <v>4.163162472216932</v>
      </c>
      <c r="AC22" s="114">
        <f>('Raw Values'!$V22+AB22)*(0.1^('Raw Values'!$F22/'Raw Values'!$AF22))</f>
        <v>4.1633692560555806</v>
      </c>
      <c r="AD22" s="114">
        <f>('Raw Values'!$V22+AC22)*(0.1^('Raw Values'!$F22/'Raw Values'!$AF22))</f>
        <v>4.1635049797549586</v>
      </c>
      <c r="AE22" s="114">
        <f>('Raw Values'!$V22+AD22)*(0.1^('Raw Values'!$F22/'Raw Values'!$AF22))</f>
        <v>4.1635940627446786</v>
      </c>
      <c r="AF22" s="114">
        <f>('Raw Values'!$V22+AE22)*(0.1^('Raw Values'!$F22/'Raw Values'!$AF22))</f>
        <v>4.1636525328504437</v>
      </c>
      <c r="AG22" s="114">
        <f>('Raw Values'!$V22+AF22)*(0.1^('Raw Values'!$F22/'Raw Values'!$AF22))</f>
        <v>4.1636909100229982</v>
      </c>
      <c r="AH22" s="114">
        <f>('Raw Values'!$V22+AG22)*(0.1^('Raw Values'!$F22/'Raw Values'!$AF22))</f>
        <v>4.1637160990893429</v>
      </c>
      <c r="AI22" s="114">
        <f>('Raw Values'!$V22+AH22)*(0.1^('Raw Values'!$F22/'Raw Values'!$AF22))</f>
        <v>4.1637326320703085</v>
      </c>
      <c r="AJ22" s="114">
        <f>('Raw Values'!$V22+AI22)*(0.1^('Raw Values'!$F22/'Raw Values'!$AF22))</f>
        <v>4.1637434835824623</v>
      </c>
    </row>
    <row r="23" spans="1:36" ht="15.75" customHeight="1" x14ac:dyDescent="0.15">
      <c r="A23" s="53" t="s">
        <v>162</v>
      </c>
      <c r="B23" s="83">
        <f>'Raw Values'!F23</f>
        <v>0.08</v>
      </c>
      <c r="C23" s="15">
        <f>'Raw Values'!V23</f>
        <v>2.1800000000000002</v>
      </c>
      <c r="D23" s="22">
        <f>'Raw Values'!AE23</f>
        <v>0.43749100000000002</v>
      </c>
      <c r="E23" s="33" t="s">
        <v>236</v>
      </c>
      <c r="F23" s="176"/>
      <c r="G23" s="21">
        <v>0</v>
      </c>
      <c r="H23" s="114">
        <f>('Raw Values'!$V23)*(0.1^('Raw Values'!$F23/'Raw Values'!$AE23))</f>
        <v>1.4308548800310106</v>
      </c>
      <c r="I23" s="114">
        <f>('Raw Values'!$V23+H23)*(0.1^('Raw Values'!$F23/'Raw Values'!$AE23))</f>
        <v>2.3700042780624591</v>
      </c>
      <c r="J23" s="114">
        <f>('Raw Values'!$V23+I23)*(0.1^('Raw Values'!$F23/Analysis!$L23))</f>
        <v>2.9864201034071769</v>
      </c>
      <c r="K23" s="114">
        <f>('Raw Values'!$V23+J23)*(0.1^('Raw Values'!$F23/Analysis!$M23))</f>
        <v>3.3910079895644389</v>
      </c>
      <c r="L23" s="114">
        <f>('Raw Values'!$V23+K23)*(0.1^('Raw Values'!$F23/'Raw Values'!$AF23))</f>
        <v>3.6565614534679018</v>
      </c>
      <c r="M23" s="114">
        <f>('Raw Values'!$V23+L23)*(0.1^('Raw Values'!$F23/'Raw Values'!$AF23))</f>
        <v>3.8308589166492824</v>
      </c>
      <c r="N23" s="114">
        <f>('Raw Values'!$V23+M23)*(0.1^('Raw Values'!$F23/'Raw Values'!$AF23))</f>
        <v>3.9452600064520822</v>
      </c>
      <c r="O23" s="114">
        <f>('Raw Values'!$V23+N23)*(0.1^('Raw Values'!$F23/'Raw Values'!$AF23))</f>
        <v>4.0203477851792391</v>
      </c>
      <c r="P23" s="114">
        <f>('Raw Values'!$V23+O23)*(0.1^('Raw Values'!$F23/'Raw Values'!$AF23))</f>
        <v>4.0696320579418268</v>
      </c>
      <c r="Q23" s="114">
        <f>('Raw Values'!$V23+P23)*(0.1^('Raw Values'!$F23/'Raw Values'!$AF23))</f>
        <v>4.1019800589469311</v>
      </c>
      <c r="R23" s="114">
        <f>('Raw Values'!$V23+Q23)*(0.1^('Raw Values'!$F23/'Raw Values'!$AF23))</f>
        <v>4.1232118456888589</v>
      </c>
      <c r="S23" s="114">
        <f>('Raw Values'!$V23+R23)*(0.1^('Raw Values'!$F23/'Raw Values'!$AF23))</f>
        <v>4.137147444620723</v>
      </c>
      <c r="T23" s="114">
        <f>('Raw Values'!$V23+S23)*(0.1^('Raw Values'!$F23/'Raw Values'!$AF23))</f>
        <v>4.146294150922472</v>
      </c>
      <c r="U23" s="114">
        <f>('Raw Values'!$V23+T23)*(0.1^('Raw Values'!$F23/'Raw Values'!$AF23))</f>
        <v>4.1522976414491088</v>
      </c>
      <c r="V23" s="114">
        <f>('Raw Values'!$V23+U23)*(0.1^('Raw Values'!$F23/'Raw Values'!$AF23))</f>
        <v>4.1562380651726221</v>
      </c>
      <c r="W23" s="114">
        <f>('Raw Values'!$V23+V23)*(0.1^('Raw Values'!$F23/'Raw Values'!$AF23))</f>
        <v>4.1588243837571079</v>
      </c>
      <c r="X23" s="114">
        <f>('Raw Values'!$V23+W23)*(0.1^('Raw Values'!$F23/'Raw Values'!$AF23))</f>
        <v>4.1605219280543215</v>
      </c>
      <c r="Y23" s="114">
        <f>('Raw Values'!$V23+X23)*(0.1^('Raw Values'!$F23/'Raw Values'!$AF23))</f>
        <v>4.1616361205046601</v>
      </c>
      <c r="Z23" s="114">
        <f>('Raw Values'!$V23+Y23)*(0.1^('Raw Values'!$F23/'Raw Values'!$AF23))</f>
        <v>4.1623674267912927</v>
      </c>
      <c r="AA23" s="114">
        <f>('Raw Values'!$V23+Z23)*(0.1^('Raw Values'!$F23/'Raw Values'!$AF23))</f>
        <v>4.1628474236578183</v>
      </c>
      <c r="AB23" s="114">
        <f>('Raw Values'!$V23+AA23)*(0.1^('Raw Values'!$F23/'Raw Values'!$AF23))</f>
        <v>4.163162472216932</v>
      </c>
      <c r="AC23" s="114">
        <f>('Raw Values'!$V23+AB23)*(0.1^('Raw Values'!$F23/'Raw Values'!$AF23))</f>
        <v>4.1633692560555806</v>
      </c>
      <c r="AD23" s="114">
        <f>('Raw Values'!$V23+AC23)*(0.1^('Raw Values'!$F23/'Raw Values'!$AF23))</f>
        <v>4.1635049797549586</v>
      </c>
      <c r="AE23" s="114">
        <f>('Raw Values'!$V23+AD23)*(0.1^('Raw Values'!$F23/'Raw Values'!$AF23))</f>
        <v>4.1635940627446786</v>
      </c>
      <c r="AF23" s="114">
        <f>('Raw Values'!$V23+AE23)*(0.1^('Raw Values'!$F23/'Raw Values'!$AF23))</f>
        <v>4.1636525328504437</v>
      </c>
      <c r="AG23" s="114">
        <f>('Raw Values'!$V23+AF23)*(0.1^('Raw Values'!$F23/'Raw Values'!$AF23))</f>
        <v>4.1636909100229982</v>
      </c>
      <c r="AH23" s="114">
        <f>('Raw Values'!$V23+AG23)*(0.1^('Raw Values'!$F23/'Raw Values'!$AF23))</f>
        <v>4.1637160990893429</v>
      </c>
      <c r="AI23" s="114">
        <f>('Raw Values'!$V23+AH23)*(0.1^('Raw Values'!$F23/'Raw Values'!$AF23))</f>
        <v>4.1637326320703085</v>
      </c>
      <c r="AJ23" s="114">
        <f>('Raw Values'!$V23+AI23)*(0.1^('Raw Values'!$F23/'Raw Values'!$AF23))</f>
        <v>4.1637434835824623</v>
      </c>
    </row>
    <row r="24" spans="1:36" ht="15.75" customHeight="1" x14ac:dyDescent="0.15">
      <c r="A24" s="35" t="s">
        <v>163</v>
      </c>
      <c r="B24" s="83">
        <f>'Raw Values'!F24</f>
        <v>7.0000000000000007E-2</v>
      </c>
      <c r="C24" s="15">
        <f>'Raw Values'!V24</f>
        <v>3.7</v>
      </c>
      <c r="D24" s="22">
        <f>'Raw Values'!AE24</f>
        <v>0.25789000000000001</v>
      </c>
      <c r="E24" s="33" t="s">
        <v>236</v>
      </c>
      <c r="F24" s="176"/>
      <c r="G24" s="21">
        <v>0</v>
      </c>
      <c r="H24" s="114">
        <f>('Raw Values'!$V24)*(0.1^('Raw Values'!$F24/'Raw Values'!$AE24))</f>
        <v>1.9804695393823752</v>
      </c>
      <c r="I24" s="114">
        <f>('Raw Values'!$V24+H24)*(0.1^('Raw Values'!$F24/'Raw Values'!$AE24))</f>
        <v>3.0405397005773582</v>
      </c>
      <c r="J24" s="114">
        <f>('Raw Values'!$V24+I24)*(0.1^('Raw Values'!$F24/Analysis!$L24))</f>
        <v>3.6079550151327169</v>
      </c>
      <c r="K24" s="114">
        <f>('Raw Values'!$V24+J24)*(0.1^('Raw Values'!$F24/Analysis!$M24))</f>
        <v>3.9116708926073001</v>
      </c>
      <c r="L24" s="114">
        <f>('Raw Values'!$V24+K24)*(0.1^('Raw Values'!$F24/'Raw Values'!$AF24))</f>
        <v>4.0742384720573543</v>
      </c>
      <c r="M24" s="114">
        <f>('Raw Values'!$V24+L24)*(0.1^('Raw Values'!$F24/'Raw Values'!$AF24))</f>
        <v>4.1612547258930181</v>
      </c>
      <c r="N24" s="114">
        <f>('Raw Values'!$V24+M24)*(0.1^('Raw Values'!$F24/'Raw Values'!$AF24))</f>
        <v>4.2078312232315849</v>
      </c>
      <c r="O24" s="114">
        <f>('Raw Values'!$V24+N24)*(0.1^('Raw Values'!$F24/'Raw Values'!$AF24))</f>
        <v>4.2327618541046004</v>
      </c>
      <c r="P24" s="114">
        <f>('Raw Values'!$V24+O24)*(0.1^('Raw Values'!$F24/'Raw Values'!$AF24))</f>
        <v>4.2461062743861122</v>
      </c>
      <c r="Q24" s="114">
        <f>('Raw Values'!$V24+P24)*(0.1^('Raw Values'!$F24/'Raw Values'!$AF24))</f>
        <v>4.2532490359775306</v>
      </c>
      <c r="R24" s="114">
        <f>('Raw Values'!$V24+Q24)*(0.1^('Raw Values'!$F24/'Raw Values'!$AF24))</f>
        <v>4.2570722851015512</v>
      </c>
      <c r="S24" s="114">
        <f>('Raw Values'!$V24+R24)*(0.1^('Raw Values'!$F24/'Raw Values'!$AF24))</f>
        <v>4.2591187252181975</v>
      </c>
      <c r="T24" s="114">
        <f>('Raw Values'!$V24+S24)*(0.1^('Raw Values'!$F24/'Raw Values'!$AF24))</f>
        <v>4.2602141069250052</v>
      </c>
      <c r="U24" s="114">
        <f>('Raw Values'!$V24+T24)*(0.1^('Raw Values'!$F24/'Raw Values'!$AF24))</f>
        <v>4.2608004231694192</v>
      </c>
      <c r="V24" s="114">
        <f>('Raw Values'!$V24+U24)*(0.1^('Raw Values'!$F24/'Raw Values'!$AF24))</f>
        <v>4.2611142559971231</v>
      </c>
      <c r="W24" s="114">
        <f>('Raw Values'!$V24+V24)*(0.1^('Raw Values'!$F24/'Raw Values'!$AF24))</f>
        <v>4.2612822387959683</v>
      </c>
      <c r="X24" s="114">
        <f>('Raw Values'!$V24+W24)*(0.1^('Raw Values'!$F24/'Raw Values'!$AF24))</f>
        <v>4.2613721536111715</v>
      </c>
      <c r="Y24" s="114">
        <f>('Raw Values'!$V24+X24)*(0.1^('Raw Values'!$F24/'Raw Values'!$AF24))</f>
        <v>4.2614202815983742</v>
      </c>
      <c r="Z24" s="114">
        <f>('Raw Values'!$V24+Y24)*(0.1^('Raw Values'!$F24/'Raw Values'!$AF24))</f>
        <v>4.2614460426828735</v>
      </c>
      <c r="AA24" s="114">
        <f>('Raw Values'!$V24+Z24)*(0.1^('Raw Values'!$F24/'Raw Values'!$AF24))</f>
        <v>4.2614598316134549</v>
      </c>
      <c r="AB24" s="114">
        <f>('Raw Values'!$V24+AA24)*(0.1^('Raw Values'!$F24/'Raw Values'!$AF24))</f>
        <v>4.2614672123045354</v>
      </c>
      <c r="AC24" s="114">
        <f>('Raw Values'!$V24+AB24)*(0.1^('Raw Values'!$F24/'Raw Values'!$AF24))</f>
        <v>4.2614711629082827</v>
      </c>
      <c r="AD24" s="114">
        <f>('Raw Values'!$V24+AC24)*(0.1^('Raw Values'!$F24/'Raw Values'!$AF24))</f>
        <v>4.2614732775164947</v>
      </c>
      <c r="AE24" s="114">
        <f>('Raw Values'!$V24+AD24)*(0.1^('Raw Values'!$F24/'Raw Values'!$AF24))</f>
        <v>4.2614744093859951</v>
      </c>
      <c r="AF24" s="114">
        <f>('Raw Values'!$V24+AE24)*(0.1^('Raw Values'!$F24/'Raw Values'!$AF24))</f>
        <v>4.2614750152327696</v>
      </c>
      <c r="AG24" s="114">
        <f>('Raw Values'!$V24+AF24)*(0.1^('Raw Values'!$F24/'Raw Values'!$AF24))</f>
        <v>4.2614753395195493</v>
      </c>
      <c r="AH24" s="114">
        <f>('Raw Values'!$V24+AG24)*(0.1^('Raw Values'!$F24/'Raw Values'!$AF24))</f>
        <v>4.2614755130979516</v>
      </c>
      <c r="AI24" s="114">
        <f>('Raw Values'!$V24+AH24)*(0.1^('Raw Values'!$F24/'Raw Values'!$AF24))</f>
        <v>4.2614756060078811</v>
      </c>
      <c r="AJ24" s="114">
        <f>('Raw Values'!$V24+AI24)*(0.1^('Raw Values'!$F24/'Raw Values'!$AF24))</f>
        <v>4.261475655739039</v>
      </c>
    </row>
    <row r="25" spans="1:36" ht="15.75" customHeight="1" x14ac:dyDescent="0.15">
      <c r="A25" s="9" t="s">
        <v>164</v>
      </c>
      <c r="B25" s="83">
        <f>'Raw Values'!F25</f>
        <v>7.0000000000000007E-2</v>
      </c>
      <c r="C25" s="15">
        <f>'Raw Values'!V25</f>
        <v>2.85</v>
      </c>
      <c r="D25" s="22">
        <f>'Raw Values'!AE25</f>
        <v>0.37209799999999998</v>
      </c>
      <c r="E25" s="33" t="s">
        <v>236</v>
      </c>
      <c r="F25" s="176"/>
      <c r="G25" s="21">
        <v>0</v>
      </c>
      <c r="H25" s="114">
        <f>('Raw Values'!$V25)*(0.1^('Raw Values'!$F25/'Raw Values'!$AE25))</f>
        <v>1.8480868470707621</v>
      </c>
      <c r="I25" s="114">
        <f>('Raw Values'!$V25+H25)*(0.1^('Raw Values'!$F25/'Raw Values'!$AE25))</f>
        <v>3.0464815819184636</v>
      </c>
      <c r="J25" s="114">
        <f>('Raw Values'!$V25+I25)*(0.1^('Raw Values'!$F25/Analysis!$L25))</f>
        <v>3.823582475627548</v>
      </c>
      <c r="K25" s="114">
        <f>('Raw Values'!$V25+J25)*(0.1^('Raw Values'!$F25/Analysis!$M25))</f>
        <v>4.3274947354558613</v>
      </c>
      <c r="L25" s="114">
        <f>('Raw Values'!$V25+K25)*(0.1^('Raw Values'!$F25/'Raw Values'!$AF25))</f>
        <v>4.654257408952847</v>
      </c>
      <c r="M25" s="114">
        <f>('Raw Values'!$V25+L25)*(0.1^('Raw Values'!$F25/'Raw Values'!$AF25))</f>
        <v>4.8661471629891491</v>
      </c>
      <c r="N25" s="114">
        <f>('Raw Values'!$V25+M25)*(0.1^('Raw Values'!$F25/'Raw Values'!$AF25))</f>
        <v>5.0035473971868845</v>
      </c>
      <c r="O25" s="114">
        <f>('Raw Values'!$V25+N25)*(0.1^('Raw Values'!$F25/'Raw Values'!$AF25))</f>
        <v>5.0926447886273332</v>
      </c>
      <c r="P25" s="114">
        <f>('Raw Values'!$V25+O25)*(0.1^('Raw Values'!$F25/'Raw Values'!$AF25))</f>
        <v>5.1504201280060729</v>
      </c>
      <c r="Q25" s="114">
        <f>('Raw Values'!$V25+P25)*(0.1^('Raw Values'!$F25/'Raw Values'!$AF25))</f>
        <v>5.1878846349502474</v>
      </c>
      <c r="R25" s="114">
        <f>('Raw Values'!$V25+Q25)*(0.1^('Raw Values'!$F25/'Raw Values'!$AF25))</f>
        <v>5.21217855162236</v>
      </c>
      <c r="S25" s="114">
        <f>('Raw Values'!$V25+R25)*(0.1^('Raw Values'!$F25/'Raw Values'!$AF25))</f>
        <v>5.2279319789436105</v>
      </c>
      <c r="T25" s="114">
        <f>('Raw Values'!$V25+S25)*(0.1^('Raw Values'!$F25/'Raw Values'!$AF25))</f>
        <v>5.2381473129185885</v>
      </c>
      <c r="U25" s="114">
        <f>('Raw Values'!$V25+T25)*(0.1^('Raw Values'!$F25/'Raw Values'!$AF25))</f>
        <v>5.2447714618159891</v>
      </c>
      <c r="V25" s="114">
        <f>('Raw Values'!$V25+U25)*(0.1^('Raw Values'!$F25/'Raw Values'!$AF25))</f>
        <v>5.2490669012722435</v>
      </c>
      <c r="W25" s="114">
        <f>('Raw Values'!$V25+V25)*(0.1^('Raw Values'!$F25/'Raw Values'!$AF25))</f>
        <v>5.2518522855394334</v>
      </c>
      <c r="X25" s="114">
        <f>('Raw Values'!$V25+W25)*(0.1^('Raw Values'!$F25/'Raw Values'!$AF25))</f>
        <v>5.2536584722160065</v>
      </c>
      <c r="Y25" s="114">
        <f>('Raw Values'!$V25+X25)*(0.1^('Raw Values'!$F25/'Raw Values'!$AF25))</f>
        <v>5.2548296967213846</v>
      </c>
      <c r="Z25" s="114">
        <f>('Raw Values'!$V25+Y25)*(0.1^('Raw Values'!$F25/'Raw Values'!$AF25))</f>
        <v>5.2555891790383527</v>
      </c>
      <c r="AA25" s="114">
        <f>('Raw Values'!$V25+Z25)*(0.1^('Raw Values'!$F25/'Raw Values'!$AF25))</f>
        <v>5.256081666505219</v>
      </c>
      <c r="AB25" s="114">
        <f>('Raw Values'!$V25+AA25)*(0.1^('Raw Values'!$F25/'Raw Values'!$AF25))</f>
        <v>5.2564010207542937</v>
      </c>
      <c r="AC25" s="114">
        <f>('Raw Values'!$V25+AB25)*(0.1^('Raw Values'!$F25/'Raw Values'!$AF25))</f>
        <v>5.2566081065042143</v>
      </c>
      <c r="AD25" s="114">
        <f>('Raw Values'!$V25+AC25)*(0.1^('Raw Values'!$F25/'Raw Values'!$AF25))</f>
        <v>5.2567423915746154</v>
      </c>
      <c r="AE25" s="114">
        <f>('Raw Values'!$V25+AD25)*(0.1^('Raw Values'!$F25/'Raw Values'!$AF25))</f>
        <v>5.2568294689333399</v>
      </c>
      <c r="AF25" s="114">
        <f>('Raw Values'!$V25+AE25)*(0.1^('Raw Values'!$F25/'Raw Values'!$AF25))</f>
        <v>5.2568859343794232</v>
      </c>
      <c r="AG25" s="114">
        <f>('Raw Values'!$V25+AF25)*(0.1^('Raw Values'!$F25/'Raw Values'!$AF25))</f>
        <v>5.2569225494840621</v>
      </c>
      <c r="AH25" s="114">
        <f>('Raw Values'!$V25+AG25)*(0.1^('Raw Values'!$F25/'Raw Values'!$AF25))</f>
        <v>5.2569462926045141</v>
      </c>
      <c r="AI25" s="114">
        <f>('Raw Values'!$V25+AH25)*(0.1^('Raw Values'!$F25/'Raw Values'!$AF25))</f>
        <v>5.256961688867186</v>
      </c>
      <c r="AJ25" s="114">
        <f>('Raw Values'!$V25+AI25)*(0.1^('Raw Values'!$F25/'Raw Values'!$AF25))</f>
        <v>5.2569716725971984</v>
      </c>
    </row>
    <row r="26" spans="1:36" ht="15.75" customHeight="1" x14ac:dyDescent="0.15">
      <c r="A26" s="9" t="s">
        <v>165</v>
      </c>
      <c r="B26" s="83">
        <f>'Raw Values'!F26</f>
        <v>0.09</v>
      </c>
      <c r="C26" s="15">
        <f>'Raw Values'!V26</f>
        <v>3.42</v>
      </c>
      <c r="D26" s="22">
        <f>'Raw Values'!AE26</f>
        <v>0.349993</v>
      </c>
      <c r="E26" s="33" t="s">
        <v>236</v>
      </c>
      <c r="F26" s="176"/>
      <c r="G26" s="21">
        <v>0</v>
      </c>
      <c r="H26" s="114">
        <f>('Raw Values'!$V26)*(0.1^('Raw Values'!$F26/'Raw Values'!$AE26))</f>
        <v>1.8918125664131082</v>
      </c>
      <c r="I26" s="114">
        <f>('Raw Values'!$V26+H26)*(0.1^('Raw Values'!$F26/'Raw Values'!$AE26))</f>
        <v>2.9382905741436787</v>
      </c>
      <c r="J26" s="114">
        <f>('Raw Values'!$V26+I26)*(0.1^('Raw Values'!$F26/Analysis!$L26))</f>
        <v>3.5171619909564411</v>
      </c>
      <c r="K26" s="114">
        <f>('Raw Values'!$V26+J26)*(0.1^('Raw Values'!$F26/Analysis!$M26))</f>
        <v>3.8373714122031499</v>
      </c>
      <c r="L26" s="114">
        <f>('Raw Values'!$V26+K26)*(0.1^('Raw Values'!$F26/'Raw Values'!$AF26))</f>
        <v>4.0144989581091126</v>
      </c>
      <c r="M26" s="114">
        <f>('Raw Values'!$V26+L26)*(0.1^('Raw Values'!$F26/'Raw Values'!$AF26))</f>
        <v>4.1124791093380058</v>
      </c>
      <c r="N26" s="114">
        <f>('Raw Values'!$V26+M26)*(0.1^('Raw Values'!$F26/'Raw Values'!$AF26))</f>
        <v>4.1666779635350455</v>
      </c>
      <c r="O26" s="114">
        <f>('Raw Values'!$V26+N26)*(0.1^('Raw Values'!$F26/'Raw Values'!$AF26))</f>
        <v>4.1966586867675462</v>
      </c>
      <c r="P26" s="114">
        <f>('Raw Values'!$V26+O26)*(0.1^('Raw Values'!$F26/'Raw Values'!$AF26))</f>
        <v>4.2132428706743879</v>
      </c>
      <c r="Q26" s="114">
        <f>('Raw Values'!$V26+P26)*(0.1^('Raw Values'!$F26/'Raw Values'!$AF26))</f>
        <v>4.2224166038669813</v>
      </c>
      <c r="R26" s="114">
        <f>('Raw Values'!$V26+Q26)*(0.1^('Raw Values'!$F26/'Raw Values'!$AF26))</f>
        <v>4.2274911605145453</v>
      </c>
      <c r="S26" s="114">
        <f>('Raw Values'!$V26+R26)*(0.1^('Raw Values'!$F26/'Raw Values'!$AF26))</f>
        <v>4.2302982102323341</v>
      </c>
      <c r="T26" s="114">
        <f>('Raw Values'!$V26+S26)*(0.1^('Raw Values'!$F26/'Raw Values'!$AF26))</f>
        <v>4.2318509622588421</v>
      </c>
      <c r="U26" s="114">
        <f>('Raw Values'!$V26+T26)*(0.1^('Raw Values'!$F26/'Raw Values'!$AF26))</f>
        <v>4.2327098850062903</v>
      </c>
      <c r="V26" s="114">
        <f>('Raw Values'!$V26+U26)*(0.1^('Raw Values'!$F26/'Raw Values'!$AF26))</f>
        <v>4.2331850080610272</v>
      </c>
      <c r="W26" s="114">
        <f>('Raw Values'!$V26+V26)*(0.1^('Raw Values'!$F26/'Raw Values'!$AF26))</f>
        <v>4.233447827875513</v>
      </c>
      <c r="X26" s="114">
        <f>('Raw Values'!$V26+W26)*(0.1^('Raw Values'!$F26/'Raw Values'!$AF26))</f>
        <v>4.2335932096964921</v>
      </c>
      <c r="Y26" s="114">
        <f>('Raw Values'!$V26+X26)*(0.1^('Raw Values'!$F26/'Raw Values'!$AF26))</f>
        <v>4.2336736293327073</v>
      </c>
      <c r="Z26" s="114">
        <f>('Raw Values'!$V26+Y26)*(0.1^('Raw Values'!$F26/'Raw Values'!$AF26))</f>
        <v>4.2337181143848648</v>
      </c>
      <c r="AA26" s="114">
        <f>('Raw Values'!$V26+Z26)*(0.1^('Raw Values'!$F26/'Raw Values'!$AF26))</f>
        <v>4.2337427218061192</v>
      </c>
      <c r="AB26" s="114">
        <f>('Raw Values'!$V26+AA26)*(0.1^('Raw Values'!$F26/'Raw Values'!$AF26))</f>
        <v>4.2337563336858723</v>
      </c>
      <c r="AC26" s="114">
        <f>('Raw Values'!$V26+AB26)*(0.1^('Raw Values'!$F26/'Raw Values'!$AF26))</f>
        <v>4.2337638632546355</v>
      </c>
      <c r="AD26" s="114">
        <f>('Raw Values'!$V26+AC26)*(0.1^('Raw Values'!$F26/'Raw Values'!$AF26))</f>
        <v>4.2337680283227073</v>
      </c>
      <c r="AE26" s="114">
        <f>('Raw Values'!$V26+AD26)*(0.1^('Raw Values'!$F26/'Raw Values'!$AF26))</f>
        <v>4.2337703322782971</v>
      </c>
      <c r="AF26" s="114"/>
      <c r="AG26" s="114"/>
      <c r="AH26" s="114"/>
      <c r="AI26" s="114"/>
      <c r="AJ26" s="114"/>
    </row>
    <row r="27" spans="1:36" ht="15.75" customHeight="1" x14ac:dyDescent="0.15">
      <c r="A27" s="39"/>
      <c r="B27" s="101"/>
      <c r="C27" s="41"/>
      <c r="D27" s="178"/>
      <c r="E27" s="178"/>
      <c r="F27" s="179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5.75" customHeight="1" x14ac:dyDescent="0.15">
      <c r="A28" s="1" t="s">
        <v>68</v>
      </c>
      <c r="B28" s="69" t="s">
        <v>95</v>
      </c>
      <c r="C28" s="4" t="s">
        <v>234</v>
      </c>
      <c r="D28" s="7" t="s">
        <v>27</v>
      </c>
      <c r="E28" s="7" t="s">
        <v>235</v>
      </c>
      <c r="F28" s="174"/>
      <c r="G28" s="175">
        <v>1</v>
      </c>
      <c r="H28" s="175">
        <v>2</v>
      </c>
      <c r="I28" s="175">
        <v>3</v>
      </c>
      <c r="J28" s="175">
        <v>4</v>
      </c>
      <c r="K28" s="175">
        <v>5</v>
      </c>
      <c r="L28" s="175">
        <v>6</v>
      </c>
      <c r="M28" s="175">
        <v>7</v>
      </c>
      <c r="N28" s="175">
        <v>8</v>
      </c>
      <c r="O28" s="175">
        <v>9</v>
      </c>
      <c r="P28" s="175">
        <v>10</v>
      </c>
      <c r="Q28" s="175">
        <v>11</v>
      </c>
      <c r="R28" s="175">
        <v>12</v>
      </c>
      <c r="S28" s="175">
        <v>13</v>
      </c>
      <c r="T28" s="175">
        <v>14</v>
      </c>
      <c r="U28" s="175">
        <v>15</v>
      </c>
      <c r="V28" s="175">
        <v>16</v>
      </c>
      <c r="W28" s="175">
        <v>17</v>
      </c>
      <c r="X28" s="175">
        <v>18</v>
      </c>
      <c r="Y28" s="175">
        <v>19</v>
      </c>
      <c r="Z28" s="175">
        <v>20</v>
      </c>
      <c r="AA28" s="175">
        <v>21</v>
      </c>
      <c r="AB28" s="175">
        <v>22</v>
      </c>
      <c r="AC28" s="175">
        <v>23</v>
      </c>
      <c r="AD28" s="175">
        <v>24</v>
      </c>
      <c r="AE28" s="175">
        <v>25</v>
      </c>
      <c r="AF28" s="175">
        <v>26</v>
      </c>
      <c r="AG28" s="175">
        <v>27</v>
      </c>
      <c r="AH28" s="175">
        <v>28</v>
      </c>
      <c r="AI28" s="175">
        <v>29</v>
      </c>
      <c r="AJ28" s="175">
        <v>30</v>
      </c>
    </row>
    <row r="29" spans="1:36" ht="15.75" customHeight="1" x14ac:dyDescent="0.15">
      <c r="A29" s="36" t="s">
        <v>166</v>
      </c>
      <c r="B29" s="83">
        <f>'Raw Values'!F29</f>
        <v>0.1</v>
      </c>
      <c r="C29" s="15">
        <f>'Raw Values'!V29</f>
        <v>7.8</v>
      </c>
      <c r="D29" s="22">
        <f>'Raw Values'!AE29</f>
        <v>0.36799999999999999</v>
      </c>
      <c r="E29" s="22">
        <f>'Raw Values'!AF29</f>
        <v>0.50600000000000001</v>
      </c>
      <c r="F29" s="176"/>
      <c r="G29" s="189">
        <v>0</v>
      </c>
      <c r="H29" s="114">
        <f>('Raw Values'!$V29)*(0.1^('Raw Values'!$F29/'Raw Values'!$AE29))</f>
        <v>4.1721073287286163</v>
      </c>
      <c r="I29" s="114">
        <f>('Raw Values'!$V29+H29)*(0.1^('Raw Values'!$F29/'Raw Values'!$AE29))</f>
        <v>6.4037072726300304</v>
      </c>
      <c r="J29" s="114">
        <f>('Raw Values'!$V29+I29)*(0.1^('Raw Values'!$F29/Analysis!$L29))</f>
        <v>8.1443385702926623</v>
      </c>
      <c r="K29" s="114">
        <f>('Raw Values'!$V29+J29)*(0.1^('Raw Values'!$F29/Analysis!$M29))</f>
        <v>9.6652969931241621</v>
      </c>
      <c r="L29" s="114">
        <f>('Raw Values'!$V29+K29)*(0.1^('Raw Values'!$F29/'Raw Values'!$AF29))</f>
        <v>11.080197883385967</v>
      </c>
      <c r="M29" s="114">
        <f>('Raw Values'!$V29+L29)*(0.1^('Raw Values'!$F29/'Raw Values'!$AF29))</f>
        <v>11.977828301903999</v>
      </c>
      <c r="N29" s="114">
        <f>('Raw Values'!$V29+M29)*(0.1^('Raw Values'!$F29/'Raw Values'!$AF29))</f>
        <v>12.547296010769292</v>
      </c>
      <c r="O29" s="114">
        <f>('Raw Values'!$V29+N29)*(0.1^('Raw Values'!$F29/'Raw Values'!$AF29))</f>
        <v>12.908573285636704</v>
      </c>
      <c r="P29" s="114">
        <f>('Raw Values'!$V29+O29)*(0.1^('Raw Values'!$F29/'Raw Values'!$AF29))</f>
        <v>13.13777200455212</v>
      </c>
      <c r="Q29" s="114">
        <f>('Raw Values'!$V29+P29)*(0.1^('Raw Values'!$F29/'Raw Values'!$AF29))</f>
        <v>13.283178473231191</v>
      </c>
      <c r="R29" s="114">
        <f>('Raw Values'!$V29+Q29)*(0.1^('Raw Values'!$F29/'Raw Values'!$AF29))</f>
        <v>13.375426114203043</v>
      </c>
      <c r="S29" s="114">
        <f>('Raw Values'!$V29+R29)*(0.1^('Raw Values'!$F29/'Raw Values'!$AF29))</f>
        <v>13.433949145139536</v>
      </c>
      <c r="T29" s="114">
        <f>('Raw Values'!$V29+S29)*(0.1^('Raw Values'!$F29/'Raw Values'!$AF29))</f>
        <v>13.471076871267936</v>
      </c>
      <c r="U29" s="114">
        <f>('Raw Values'!$V29+T29)*(0.1^('Raw Values'!$F29/'Raw Values'!$AF29))</f>
        <v>13.494631154520308</v>
      </c>
      <c r="V29" s="114">
        <f>('Raw Values'!$V29+U29)*(0.1^('Raw Values'!$F29/'Raw Values'!$AF29))</f>
        <v>13.509574279709666</v>
      </c>
      <c r="W29" s="114">
        <f>('Raw Values'!$V29+V29)*(0.1^('Raw Values'!$F29/'Raw Values'!$AF29))</f>
        <v>13.519054380973301</v>
      </c>
      <c r="X29" s="114">
        <f>('Raw Values'!$V29+W29)*(0.1^('Raw Values'!$F29/'Raw Values'!$AF29))</f>
        <v>13.525068673086228</v>
      </c>
      <c r="Y29" s="114">
        <f>('Raw Values'!$V29+X29)*(0.1^('Raw Values'!$F29/'Raw Values'!$AF29))</f>
        <v>13.52888421351282</v>
      </c>
      <c r="Z29" s="114">
        <f>('Raw Values'!$V29+Y29)*(0.1^('Raw Values'!$F29/'Raw Values'!$AF29))</f>
        <v>13.531304838995187</v>
      </c>
      <c r="AA29" s="114">
        <f>('Raw Values'!$V29+Z29)*(0.1^('Raw Values'!$F29/'Raw Values'!$AF29))</f>
        <v>13.532840513387486</v>
      </c>
      <c r="AB29" s="114">
        <f>('Raw Values'!$V29+AA29)*(0.1^('Raw Values'!$F29/'Raw Values'!$AF29))</f>
        <v>13.533814763991858</v>
      </c>
      <c r="AC29" s="114">
        <f>('Raw Values'!$V29+AB29)*(0.1^('Raw Values'!$F29/'Raw Values'!$AF29))</f>
        <v>13.534432840483126</v>
      </c>
      <c r="AD29" s="114">
        <f>('Raw Values'!$V29+AC29)*(0.1^('Raw Values'!$F29/'Raw Values'!$AF29))</f>
        <v>13.534824955763673</v>
      </c>
      <c r="AE29" s="114">
        <f>('Raw Values'!$V29+AD29)*(0.1^('Raw Values'!$F29/'Raw Values'!$AF29))</f>
        <v>13.535073718490311</v>
      </c>
      <c r="AF29" s="114">
        <f>('Raw Values'!$V29+AE29)*(0.1^('Raw Values'!$F29/'Raw Values'!$AF29))</f>
        <v>13.535231536604613</v>
      </c>
      <c r="AG29" s="114">
        <f>('Raw Values'!$V29+AF29)*(0.1^('Raw Values'!$F29/'Raw Values'!$AF29))</f>
        <v>13.535331658345271</v>
      </c>
      <c r="AH29" s="114">
        <f>('Raw Values'!$V29+AG29)*(0.1^('Raw Values'!$F29/'Raw Values'!$AF29))</f>
        <v>13.535395176801291</v>
      </c>
      <c r="AI29" s="114">
        <f>('Raw Values'!$V29+AH29)*(0.1^('Raw Values'!$F29/'Raw Values'!$AF29))</f>
        <v>13.53543547368615</v>
      </c>
      <c r="AJ29" s="114">
        <f>('Raw Values'!$V29+AI29)*(0.1^('Raw Values'!$F29/'Raw Values'!$AF29))</f>
        <v>13.535461038522435</v>
      </c>
    </row>
    <row r="30" spans="1:36" ht="15.75" customHeight="1" x14ac:dyDescent="0.15">
      <c r="A30" s="35" t="s">
        <v>168</v>
      </c>
      <c r="B30" s="83">
        <f>'Raw Values'!F30</f>
        <v>0.1</v>
      </c>
      <c r="C30" s="15">
        <f>'Raw Values'!V30</f>
        <v>7.29</v>
      </c>
      <c r="D30" s="22">
        <f>'Raw Values'!AE30</f>
        <v>0.42972700000000003</v>
      </c>
      <c r="E30" s="33" t="s">
        <v>236</v>
      </c>
      <c r="F30" s="176"/>
      <c r="G30" s="21">
        <v>0</v>
      </c>
      <c r="H30" s="114">
        <f>('Raw Values'!$V30)*(0.1^('Raw Values'!$F30/'Raw Values'!$AE30))</f>
        <v>4.2660078238332328</v>
      </c>
      <c r="I30" s="114">
        <f>('Raw Values'!$V30+H30)*(0.1^('Raw Values'!$F30/'Raw Values'!$AE30))</f>
        <v>6.762416980624228</v>
      </c>
      <c r="J30" s="114">
        <f>('Raw Values'!$V30+I30)*(0.1^('Raw Values'!$F30/Analysis!$L30))</f>
        <v>8.2232813145555461</v>
      </c>
      <c r="K30" s="114">
        <f>('Raw Values'!$V30+J30)*(0.1^('Raw Values'!$F30/Analysis!$M30))</f>
        <v>9.078159048178307</v>
      </c>
      <c r="L30" s="114">
        <f>('Raw Values'!$V30+K30)*(0.1^('Raw Values'!$F30/'Raw Values'!$AF30))</f>
        <v>9.578421750517883</v>
      </c>
      <c r="M30" s="114">
        <f>('Raw Values'!$V30+L30)*(0.1^('Raw Values'!$F30/'Raw Values'!$AF30))</f>
        <v>9.8711686095237265</v>
      </c>
      <c r="N30" s="114">
        <f>('Raw Values'!$V30+M30)*(0.1^('Raw Values'!$F30/'Raw Values'!$AF30))</f>
        <v>10.042480048607613</v>
      </c>
      <c r="O30" s="114">
        <f>('Raw Values'!$V30+N30)*(0.1^('Raw Values'!$F30/'Raw Values'!$AF30))</f>
        <v>10.142729148668517</v>
      </c>
      <c r="P30" s="114">
        <f>('Raw Values'!$V30+O30)*(0.1^('Raw Values'!$F30/'Raw Values'!$AF30))</f>
        <v>10.201393544442462</v>
      </c>
      <c r="Q30" s="114">
        <f>('Raw Values'!$V30+P30)*(0.1^('Raw Values'!$F30/'Raw Values'!$AF30))</f>
        <v>10.235723142707496</v>
      </c>
      <c r="R30" s="114">
        <f>('Raw Values'!$V30+Q30)*(0.1^('Raw Values'!$F30/'Raw Values'!$AF30))</f>
        <v>10.255812351869043</v>
      </c>
      <c r="S30" s="114">
        <f>('Raw Values'!$V30+R30)*(0.1^('Raw Values'!$F30/'Raw Values'!$AF30))</f>
        <v>10.267568281012771</v>
      </c>
      <c r="T30" s="114">
        <f>('Raw Values'!$V30+S30)*(0.1^('Raw Values'!$F30/'Raw Values'!$AF30))</f>
        <v>10.274447689202562</v>
      </c>
      <c r="U30" s="114">
        <f>('Raw Values'!$V30+T30)*(0.1^('Raw Values'!$F30/'Raw Values'!$AF30))</f>
        <v>10.278473424341245</v>
      </c>
      <c r="V30" s="114">
        <f>('Raw Values'!$V30+U30)*(0.1^('Raw Values'!$F30/'Raw Values'!$AF30))</f>
        <v>10.280829229224414</v>
      </c>
      <c r="W30" s="114">
        <f>('Raw Values'!$V30+V30)*(0.1^('Raw Values'!$F30/'Raw Values'!$AF30))</f>
        <v>10.282207813869547</v>
      </c>
      <c r="X30" s="114">
        <f>('Raw Values'!$V30+W30)*(0.1^('Raw Values'!$F30/'Raw Values'!$AF30))</f>
        <v>10.283014542659938</v>
      </c>
      <c r="Y30" s="114">
        <f>('Raw Values'!$V30+X30)*(0.1^('Raw Values'!$F30/'Raw Values'!$AF30))</f>
        <v>10.283486629262342</v>
      </c>
      <c r="Z30" s="114">
        <f>('Raw Values'!$V30+Y30)*(0.1^('Raw Values'!$F30/'Raw Values'!$AF30))</f>
        <v>10.283762887854849</v>
      </c>
      <c r="AA30" s="114">
        <f>('Raw Values'!$V30+Z30)*(0.1^('Raw Values'!$F30/'Raw Values'!$AF30))</f>
        <v>10.283924550586953</v>
      </c>
      <c r="AB30" s="114">
        <f>('Raw Values'!$V30+AA30)*(0.1^('Raw Values'!$F30/'Raw Values'!$AF30))</f>
        <v>10.284019153396278</v>
      </c>
      <c r="AC30" s="114">
        <f>('Raw Values'!$V30+AB30)*(0.1^('Raw Values'!$F30/'Raw Values'!$AF30))</f>
        <v>10.284074513660302</v>
      </c>
      <c r="AD30" s="114">
        <f>('Raw Values'!$V30+AC30)*(0.1^('Raw Values'!$F30/'Raw Values'!$AF30))</f>
        <v>10.284106909726072</v>
      </c>
      <c r="AE30" s="114">
        <f>('Raw Values'!$V30+AD30)*(0.1^('Raw Values'!$F30/'Raw Values'!$AF30))</f>
        <v>10.284125867458588</v>
      </c>
      <c r="AF30" s="114">
        <f>('Raw Values'!$V30+AE30)*(0.1^('Raw Values'!$F30/'Raw Values'!$AF30))</f>
        <v>10.284136961263146</v>
      </c>
      <c r="AG30" s="114">
        <f>('Raw Values'!$V30+AF30)*(0.1^('Raw Values'!$F30/'Raw Values'!$AF30))</f>
        <v>10.284143453205127</v>
      </c>
      <c r="AH30" s="114">
        <f>('Raw Values'!$V30+AG30)*(0.1^('Raw Values'!$F30/'Raw Values'!$AF30))</f>
        <v>10.284147252200365</v>
      </c>
      <c r="AI30" s="114">
        <f>('Raw Values'!$V30+AH30)*(0.1^('Raw Values'!$F30/'Raw Values'!$AF30))</f>
        <v>10.284149475320174</v>
      </c>
      <c r="AJ30" s="114">
        <f>('Raw Values'!$V30+AI30)*(0.1^('Raw Values'!$F30/'Raw Values'!$AF30))</f>
        <v>10.284150776259336</v>
      </c>
    </row>
    <row r="31" spans="1:36" ht="15.75" customHeight="1" x14ac:dyDescent="0.15">
      <c r="A31" s="35" t="s">
        <v>169</v>
      </c>
      <c r="B31" s="83">
        <f>'Raw Values'!F31</f>
        <v>0.09</v>
      </c>
      <c r="C31" s="15">
        <f>'Raw Values'!V31</f>
        <v>6.05</v>
      </c>
      <c r="D31" s="22">
        <f>'Raw Values'!AE31</f>
        <v>0.25</v>
      </c>
      <c r="E31" s="22">
        <f>'Raw Values'!AF31</f>
        <v>0.5</v>
      </c>
      <c r="F31" s="176"/>
      <c r="G31" s="21">
        <v>0</v>
      </c>
      <c r="H31" s="114">
        <f>('Raw Values'!$V31)*(0.1^('Raw Values'!$F31/'Raw Values'!$AE31))</f>
        <v>2.6409207850530043</v>
      </c>
      <c r="I31" s="114">
        <f>('Raw Values'!$V31+H31)*(0.1^('Raw Values'!$F31/'Raw Values'!$AE31))</f>
        <v>3.7937245194207687</v>
      </c>
      <c r="J31" s="114">
        <f>('Raw Values'!$V31+I31)*(0.1^('Raw Values'!$F31/Analysis!$L31))</f>
        <v>5.2863930616384378</v>
      </c>
      <c r="K31" s="114">
        <f>('Raw Values'!$V31+J31)*(0.1^('Raw Values'!$F31/Analysis!$M31))</f>
        <v>6.8940574090355398</v>
      </c>
      <c r="L31" s="114">
        <f>('Raw Values'!$V31+K31)*(0.1^('Raw Values'!$F31/'Raw Values'!$AF31))</f>
        <v>8.5520539207839601</v>
      </c>
      <c r="M31" s="114">
        <f>('Raw Values'!$V31+L31)*(0.1^('Raw Values'!$F31/'Raw Values'!$AF31))</f>
        <v>9.6474813529155892</v>
      </c>
      <c r="N31" s="114">
        <f>('Raw Values'!$V31+M31)*(0.1^('Raw Values'!$F31/'Raw Values'!$AF31))</f>
        <v>10.371223080092744</v>
      </c>
      <c r="O31" s="114">
        <f>('Raw Values'!$V31+N31)*(0.1^('Raw Values'!$F31/'Raw Values'!$AF31))</f>
        <v>10.84939449728839</v>
      </c>
      <c r="P31" s="114">
        <f>('Raw Values'!$V31+O31)*(0.1^('Raw Values'!$F31/'Raw Values'!$AF31))</f>
        <v>11.165319219654062</v>
      </c>
      <c r="Q31" s="114">
        <f>('Raw Values'!$V31+P31)*(0.1^('Raw Values'!$F31/'Raw Values'!$AF31))</f>
        <v>11.37404861378468</v>
      </c>
      <c r="R31" s="114">
        <f>('Raw Values'!$V31+Q31)*(0.1^('Raw Values'!$F31/'Raw Values'!$AF31))</f>
        <v>11.511954756893374</v>
      </c>
      <c r="S31" s="114">
        <f>('Raw Values'!$V31+R31)*(0.1^('Raw Values'!$F31/'Raw Values'!$AF31))</f>
        <v>11.603068442085286</v>
      </c>
      <c r="T31" s="114">
        <f>('Raw Values'!$V31+S31)*(0.1^('Raw Values'!$F31/'Raw Values'!$AF31))</f>
        <v>11.663266656915408</v>
      </c>
      <c r="U31" s="114">
        <f>('Raw Values'!$V31+T31)*(0.1^('Raw Values'!$F31/'Raw Values'!$AF31))</f>
        <v>11.703039223035423</v>
      </c>
      <c r="V31" s="114">
        <f>('Raw Values'!$V31+U31)*(0.1^('Raw Values'!$F31/'Raw Values'!$AF31))</f>
        <v>11.729316696881366</v>
      </c>
      <c r="W31" s="114">
        <f>('Raw Values'!$V31+V31)*(0.1^('Raw Values'!$F31/'Raw Values'!$AF31))</f>
        <v>11.746678051681572</v>
      </c>
      <c r="X31" s="114">
        <f>('Raw Values'!$V31+W31)*(0.1^('Raw Values'!$F31/'Raw Values'!$AF31))</f>
        <v>11.758148585046603</v>
      </c>
      <c r="Y31" s="114">
        <f>('Raw Values'!$V31+X31)*(0.1^('Raw Values'!$F31/'Raw Values'!$AF31))</f>
        <v>11.765727091286031</v>
      </c>
      <c r="Z31" s="114">
        <f>('Raw Values'!$V31+Y31)*(0.1^('Raw Values'!$F31/'Raw Values'!$AF31))</f>
        <v>11.770734160704107</v>
      </c>
      <c r="AA31" s="114">
        <f>('Raw Values'!$V31+Z31)*(0.1^('Raw Values'!$F31/'Raw Values'!$AF31))</f>
        <v>11.774042298662348</v>
      </c>
      <c r="AB31" s="114">
        <f>('Raw Values'!$V31+AA31)*(0.1^('Raw Values'!$F31/'Raw Values'!$AF31))</f>
        <v>11.776227963736464</v>
      </c>
      <c r="AC31" s="114">
        <f>('Raw Values'!$V31+AB31)*(0.1^('Raw Values'!$F31/'Raw Values'!$AF31))</f>
        <v>11.777672018330472</v>
      </c>
      <c r="AD31" s="114">
        <f>('Raw Values'!$V31+AC31)*(0.1^('Raw Values'!$F31/'Raw Values'!$AF31))</f>
        <v>11.778626095739297</v>
      </c>
      <c r="AE31" s="114">
        <f>('Raw Values'!$V31+AD31)*(0.1^('Raw Values'!$F31/'Raw Values'!$AF31))</f>
        <v>11.7792564484322</v>
      </c>
      <c r="AF31" s="114"/>
      <c r="AG31" s="114"/>
      <c r="AH31" s="114"/>
      <c r="AI31" s="114"/>
      <c r="AJ31" s="114"/>
    </row>
    <row r="32" spans="1:36" ht="15.75" customHeight="1" x14ac:dyDescent="0.15">
      <c r="A32" s="36" t="s">
        <v>170</v>
      </c>
      <c r="B32" s="83">
        <f>'Raw Values'!F32</f>
        <v>0.09</v>
      </c>
      <c r="C32" s="15">
        <f>'Raw Values'!V32</f>
        <v>7</v>
      </c>
      <c r="D32" s="22">
        <f>'Raw Values'!AE32</f>
        <v>0.3</v>
      </c>
      <c r="E32" s="22">
        <f>'Raw Values'!AF32</f>
        <v>0.5</v>
      </c>
      <c r="F32" s="176"/>
      <c r="G32" s="21">
        <v>0</v>
      </c>
      <c r="H32" s="114">
        <f>('Raw Values'!$V32)*(0.1^('Raw Values'!$F32/'Raw Values'!$AE32))</f>
        <v>3.5083106353909064</v>
      </c>
      <c r="I32" s="114">
        <f>('Raw Values'!$V32+H32)*(0.1^('Raw Values'!$F32/'Raw Values'!$AE32))</f>
        <v>5.2666311374476127</v>
      </c>
      <c r="J32" s="114">
        <f>('Raw Values'!$V32+I32)*(0.1^('Raw Values'!$F32/Analysis!$L32))</f>
        <v>6.9706096086046063</v>
      </c>
      <c r="K32" s="114">
        <f>('Raw Values'!$V32+J32)*(0.1^('Raw Values'!$F32/Analysis!$M32))</f>
        <v>8.6601028389782755</v>
      </c>
      <c r="L32" s="114">
        <f>('Raw Values'!$V32+K32)*(0.1^('Raw Values'!$F32/'Raw Values'!$AF32))</f>
        <v>10.346527340838099</v>
      </c>
      <c r="M32" s="114">
        <f>('Raw Values'!$V32+L32)*(0.1^('Raw Values'!$F32/'Raw Values'!$AF32))</f>
        <v>11.46073695977636</v>
      </c>
      <c r="N32" s="114">
        <f>('Raw Values'!$V32+M32)*(0.1^('Raw Values'!$F32/'Raw Values'!$AF32))</f>
        <v>12.19688795471591</v>
      </c>
      <c r="O32" s="114">
        <f>('Raw Values'!$V32+N32)*(0.1^('Raw Values'!$F32/'Raw Values'!$AF32))</f>
        <v>12.683258093816743</v>
      </c>
      <c r="P32" s="114">
        <f>('Raw Values'!$V32+O32)*(0.1^('Raw Values'!$F32/'Raw Values'!$AF32))</f>
        <v>13.004599658027205</v>
      </c>
      <c r="Q32" s="114">
        <f>('Raw Values'!$V32+P32)*(0.1^('Raw Values'!$F32/'Raw Values'!$AF32))</f>
        <v>13.216907924073569</v>
      </c>
      <c r="R32" s="114">
        <f>('Raw Values'!$V32+Q32)*(0.1^('Raw Values'!$F32/'Raw Values'!$AF32))</f>
        <v>13.357178604408254</v>
      </c>
      <c r="S32" s="114">
        <f>('Raw Values'!$V32+R32)*(0.1^('Raw Values'!$F32/'Raw Values'!$AF32))</f>
        <v>13.449854523852951</v>
      </c>
      <c r="T32" s="114">
        <f>('Raw Values'!$V32+S32)*(0.1^('Raw Values'!$F32/'Raw Values'!$AF32))</f>
        <v>13.51108489661814</v>
      </c>
      <c r="U32" s="114">
        <f>('Raw Values'!$V32+T32)*(0.1^('Raw Values'!$F32/'Raw Values'!$AF32))</f>
        <v>13.551539402723165</v>
      </c>
      <c r="V32" s="114">
        <f>('Raw Values'!$V32+U32)*(0.1^('Raw Values'!$F32/'Raw Values'!$AF32))</f>
        <v>13.578267429849138</v>
      </c>
      <c r="W32" s="114">
        <f>('Raw Values'!$V32+V32)*(0.1^('Raw Values'!$F32/'Raw Values'!$AF32))</f>
        <v>13.595926462249437</v>
      </c>
      <c r="X32" s="114">
        <f>('Raw Values'!$V32+W32)*(0.1^('Raw Values'!$F32/'Raw Values'!$AF32))</f>
        <v>13.607593669254468</v>
      </c>
      <c r="Y32" s="114">
        <f>('Raw Values'!$V32+X32)*(0.1^('Raw Values'!$F32/'Raw Values'!$AF32))</f>
        <v>13.615302116479242</v>
      </c>
      <c r="Z32" s="114">
        <f>('Raw Values'!$V32+Y32)*(0.1^('Raw Values'!$F32/'Raw Values'!$AF32))</f>
        <v>13.620395037054962</v>
      </c>
      <c r="AA32" s="114">
        <f>('Raw Values'!$V32+Z32)*(0.1^('Raw Values'!$F32/'Raw Values'!$AF32))</f>
        <v>13.623759896310563</v>
      </c>
      <c r="AB32" s="114">
        <f>('Raw Values'!$V32+AA32)*(0.1^('Raw Values'!$F32/'Raw Values'!$AF32))</f>
        <v>13.625983036774207</v>
      </c>
      <c r="AC32" s="114">
        <f>('Raw Values'!$V32+AB32)*(0.1^('Raw Values'!$F32/'Raw Values'!$AF32))</f>
        <v>13.627451851112538</v>
      </c>
      <c r="AD32" s="114">
        <f>('Raw Values'!$V32+AC32)*(0.1^('Raw Values'!$F32/'Raw Values'!$AF32))</f>
        <v>13.628422287122213</v>
      </c>
      <c r="AE32" s="114">
        <f>('Raw Values'!$V32+AD32)*(0.1^('Raw Values'!$F32/'Raw Values'!$AF32))</f>
        <v>13.629063447835515</v>
      </c>
      <c r="AF32" s="114">
        <f>('Raw Values'!$V32+AE32)*(0.1^('Raw Values'!$F32/'Raw Values'!$AF32))</f>
        <v>13.629487058517912</v>
      </c>
      <c r="AG32" s="114">
        <f>('Raw Values'!$V32+AF32)*(0.1^('Raw Values'!$F32/'Raw Values'!$AF32))</f>
        <v>13.629766935320276</v>
      </c>
      <c r="AH32" s="114">
        <f>('Raw Values'!$V32+AG32)*(0.1^('Raw Values'!$F32/'Raw Values'!$AF32))</f>
        <v>13.629951848089849</v>
      </c>
      <c r="AI32" s="114">
        <f>('Raw Values'!$V32+AH32)*(0.1^('Raw Values'!$F32/'Raw Values'!$AF32))</f>
        <v>13.630074018745161</v>
      </c>
      <c r="AJ32" s="114">
        <f>('Raw Values'!$V32+AI32)*(0.1^('Raw Values'!$F32/'Raw Values'!$AF32))</f>
        <v>13.630154736096664</v>
      </c>
    </row>
    <row r="33" spans="1:36" ht="15.75" customHeight="1" x14ac:dyDescent="0.15">
      <c r="A33" s="35" t="s">
        <v>171</v>
      </c>
      <c r="B33" s="83">
        <f>'Raw Values'!F33</f>
        <v>0.09</v>
      </c>
      <c r="C33" s="15">
        <f>'Raw Values'!V33</f>
        <v>7</v>
      </c>
      <c r="D33" s="22">
        <f>'Raw Values'!AE33</f>
        <v>0.33894099999999999</v>
      </c>
      <c r="E33" s="22">
        <f>'Raw Values'!AF33</f>
        <v>0.46604400000000001</v>
      </c>
      <c r="F33" s="176"/>
      <c r="G33" s="21">
        <v>0</v>
      </c>
      <c r="H33" s="114">
        <f>('Raw Values'!$V33)*(0.1^('Raw Values'!$F33/'Raw Values'!$AE33))</f>
        <v>3.798088679752591</v>
      </c>
      <c r="I33" s="114">
        <f>('Raw Values'!$V33+H33)*(0.1^('Raw Values'!$F33/'Raw Values'!$AE33))</f>
        <v>5.8588711967904175</v>
      </c>
      <c r="J33" s="114">
        <f>('Raw Values'!$V33+I33)*(0.1^('Raw Values'!$F33/Analysis!$L33))</f>
        <v>7.4674718222352165</v>
      </c>
      <c r="K33" s="114">
        <f>('Raw Values'!$V33+J33)*(0.1^('Raw Values'!$F33/Analysis!$M33))</f>
        <v>8.8708724641103416</v>
      </c>
      <c r="L33" s="114">
        <f>('Raw Values'!$V33+K33)*(0.1^('Raw Values'!$F33/'Raw Values'!$AF33))</f>
        <v>10.173865421405969</v>
      </c>
      <c r="M33" s="114">
        <f>('Raw Values'!$V33+L33)*(0.1^('Raw Values'!$F33/'Raw Values'!$AF33))</f>
        <v>11.009136136519022</v>
      </c>
      <c r="N33" s="114">
        <f>('Raw Values'!$V33+M33)*(0.1^('Raw Values'!$F33/'Raw Values'!$AF33))</f>
        <v>11.544578146100948</v>
      </c>
      <c r="O33" s="114">
        <f>('Raw Values'!$V33+N33)*(0.1^('Raw Values'!$F33/'Raw Values'!$AF33))</f>
        <v>11.887817937030679</v>
      </c>
      <c r="P33" s="114">
        <f>('Raw Values'!$V33+O33)*(0.1^('Raw Values'!$F33/'Raw Values'!$AF33))</f>
        <v>12.107848401523885</v>
      </c>
      <c r="Q33" s="114">
        <f>('Raw Values'!$V33+P33)*(0.1^('Raw Values'!$F33/'Raw Values'!$AF33))</f>
        <v>12.248896749018675</v>
      </c>
      <c r="R33" s="114">
        <f>('Raw Values'!$V33+Q33)*(0.1^('Raw Values'!$F33/'Raw Values'!$AF33))</f>
        <v>12.339314393579096</v>
      </c>
      <c r="S33" s="114">
        <f>('Raw Values'!$V33+R33)*(0.1^('Raw Values'!$F33/'Raw Values'!$AF33))</f>
        <v>12.397275728065175</v>
      </c>
      <c r="T33" s="114">
        <f>('Raw Values'!$V33+S33)*(0.1^('Raw Values'!$F33/'Raw Values'!$AF33))</f>
        <v>12.434431266806978</v>
      </c>
      <c r="U33" s="114">
        <f>('Raw Values'!$V33+T33)*(0.1^('Raw Values'!$F33/'Raw Values'!$AF33))</f>
        <v>12.458249456492126</v>
      </c>
      <c r="V33" s="114">
        <f>('Raw Values'!$V33+U33)*(0.1^('Raw Values'!$F33/'Raw Values'!$AF33))</f>
        <v>12.473517870814412</v>
      </c>
      <c r="W33" s="114">
        <f>('Raw Values'!$V33+V33)*(0.1^('Raw Values'!$F33/'Raw Values'!$AF33))</f>
        <v>12.483305536417831</v>
      </c>
      <c r="X33" s="114">
        <f>('Raw Values'!$V33+W33)*(0.1^('Raw Values'!$F33/'Raw Values'!$AF33))</f>
        <v>12.48957982240079</v>
      </c>
      <c r="Y33" s="114">
        <f>('Raw Values'!$V33+X33)*(0.1^('Raw Values'!$F33/'Raw Values'!$AF33))</f>
        <v>12.493601891215873</v>
      </c>
      <c r="Z33" s="114">
        <f>('Raw Values'!$V33+Y33)*(0.1^('Raw Values'!$F33/'Raw Values'!$AF33))</f>
        <v>12.496180198547925</v>
      </c>
      <c r="AA33" s="114">
        <f>('Raw Values'!$V33+Z33)*(0.1^('Raw Values'!$F33/'Raw Values'!$AF33))</f>
        <v>12.497832996897268</v>
      </c>
      <c r="AB33" s="114">
        <f>('Raw Values'!$V33+AA33)*(0.1^('Raw Values'!$F33/'Raw Values'!$AF33))</f>
        <v>12.498892506890366</v>
      </c>
      <c r="AC33" s="114">
        <f>('Raw Values'!$V33+AB33)*(0.1^('Raw Values'!$F33/'Raw Values'!$AF33))</f>
        <v>12.499571695265599</v>
      </c>
      <c r="AD33" s="114">
        <f>('Raw Values'!$V33+AC33)*(0.1^('Raw Values'!$F33/'Raw Values'!$AF33))</f>
        <v>12.500007082238877</v>
      </c>
      <c r="AE33" s="114">
        <f>('Raw Values'!$V33+AD33)*(0.1^('Raw Values'!$F33/'Raw Values'!$AF33))</f>
        <v>12.500286182740904</v>
      </c>
      <c r="AF33" s="114">
        <f>('Raw Values'!$V33+AE33)*(0.1^('Raw Values'!$F33/'Raw Values'!$AF33))</f>
        <v>12.500465097350236</v>
      </c>
      <c r="AG33" s="114">
        <f>('Raw Values'!$V33+AF33)*(0.1^('Raw Values'!$F33/'Raw Values'!$AF33))</f>
        <v>12.500579788786474</v>
      </c>
      <c r="AH33" s="114">
        <f>('Raw Values'!$V33+AG33)*(0.1^('Raw Values'!$F33/'Raw Values'!$AF33))</f>
        <v>12.500653310594423</v>
      </c>
      <c r="AI33" s="114">
        <f>('Raw Values'!$V33+AH33)*(0.1^('Raw Values'!$F33/'Raw Values'!$AF33))</f>
        <v>12.500700441020385</v>
      </c>
      <c r="AJ33" s="114">
        <f>('Raw Values'!$V33+AI33)*(0.1^('Raw Values'!$F33/'Raw Values'!$AF33))</f>
        <v>12.500730653512614</v>
      </c>
    </row>
    <row r="34" spans="1:36" ht="15.75" customHeight="1" x14ac:dyDescent="0.15">
      <c r="A34" s="35" t="s">
        <v>172</v>
      </c>
      <c r="B34" s="83">
        <f>'Raw Values'!F34</f>
        <v>0.1</v>
      </c>
      <c r="C34" s="15">
        <f>'Raw Values'!AM34</f>
        <v>7</v>
      </c>
      <c r="D34" s="22">
        <f>'Raw Values'!AE34</f>
        <v>0.33894099999999999</v>
      </c>
      <c r="E34" s="22">
        <f>'Raw Values'!AF34</f>
        <v>0.46604400000000001</v>
      </c>
      <c r="F34" s="176"/>
      <c r="G34" s="20">
        <v>0</v>
      </c>
      <c r="H34" s="79">
        <f>('Raw Values'!$AM34)*(0.1^('Raw Values'!$F34/'Raw Values'!$AE34))</f>
        <v>3.5486358912003713</v>
      </c>
      <c r="I34" s="79">
        <f>('Raw Values'!$AM34+H34)*(0.1^('Raw Values'!$F34/'Raw Values'!$AE34))</f>
        <v>5.3476097038168646</v>
      </c>
      <c r="J34" s="79">
        <f>('Raw Values'!$AM34+I34)*(0.1^('Raw Values'!$F34/Analysis!$L34))</f>
        <v>6.7503791577245327</v>
      </c>
      <c r="K34" s="79">
        <f>('Raw Values'!$AM34+J34)*(0.1^('Raw Values'!$F34/Analysis!$M34))</f>
        <v>7.9851934289010398</v>
      </c>
      <c r="L34" s="79">
        <f>('Raw Values'!$AM34+K34)*(0.1^('Raw Values'!$F34/'Raw Values'!$AF34))</f>
        <v>9.1430340791556439</v>
      </c>
      <c r="M34" s="79">
        <f>('Raw Values'!$AM34+L34)*(0.1^('Raw Values'!$F34/'Raw Values'!$AF34))</f>
        <v>9.8494765133982778</v>
      </c>
      <c r="N34" s="79">
        <f>('Raw Values'!$AM34+M34)*(0.1^('Raw Values'!$F34/'Raw Values'!$AF34))</f>
        <v>10.280503799224629</v>
      </c>
      <c r="O34" s="79">
        <f>('Raw Values'!$AM34+N34)*(0.1^('Raw Values'!$F34/'Raw Values'!$AF34))</f>
        <v>10.543489871580272</v>
      </c>
      <c r="P34" s="79">
        <f>('Raw Values'!$AM34+O34)*(0.1^('Raw Values'!$F34/'Raw Values'!$AF34))</f>
        <v>10.703947634991822</v>
      </c>
      <c r="Q34" s="79">
        <f>('Raw Values'!$AM34+P34)*(0.1^('Raw Values'!$F34/'Raw Values'!$AF34))</f>
        <v>10.801848993829637</v>
      </c>
      <c r="R34" s="79">
        <f>('Raw Values'!$AM34+Q34)*(0.1^('Raw Values'!$F34/'Raw Values'!$AF34))</f>
        <v>10.861582320896568</v>
      </c>
      <c r="S34" s="79">
        <f>('Raw Values'!$AM34+R34)*(0.1^('Raw Values'!$F34/'Raw Values'!$AF34))</f>
        <v>10.898027886155738</v>
      </c>
      <c r="T34" s="79">
        <f>('Raw Values'!$AM34+S34)*(0.1^('Raw Values'!$F34/'Raw Values'!$AF34))</f>
        <v>10.920264705905828</v>
      </c>
      <c r="U34" s="79">
        <f>('Raw Values'!$AM34+T34)*(0.1^('Raw Values'!$F34/'Raw Values'!$AF34))</f>
        <v>10.933832231860816</v>
      </c>
      <c r="V34" s="79">
        <f>('Raw Values'!$AM34+U34)*(0.1^('Raw Values'!$F34/'Raw Values'!$AF34))</f>
        <v>10.942110293319603</v>
      </c>
      <c r="W34" s="79">
        <f>('Raw Values'!$AM34+V34)*(0.1^('Raw Values'!$F34/'Raw Values'!$AF34))</f>
        <v>10.947161052149387</v>
      </c>
      <c r="X34" s="79">
        <f>('Raw Values'!$AM34+W34)*(0.1^('Raw Values'!$F34/'Raw Values'!$AF34))</f>
        <v>10.950242711410271</v>
      </c>
      <c r="Y34" s="79">
        <f>('Raw Values'!$AM34+X34)*(0.1^('Raw Values'!$F34/'Raw Values'!$AF34))</f>
        <v>10.952122948443998</v>
      </c>
      <c r="Z34" s="79">
        <f>('Raw Values'!$AM34+Y34)*(0.1^('Raw Values'!$F34/'Raw Values'!$AF34))</f>
        <v>10.953270152272756</v>
      </c>
      <c r="AA34" s="79">
        <f>('Raw Values'!$AM34+Z34)*(0.1^('Raw Values'!$F34/'Raw Values'!$AF34))</f>
        <v>10.95397010477933</v>
      </c>
      <c r="AB34" s="79">
        <f>('Raw Values'!$AM34+AA34)*(0.1^('Raw Values'!$F34/'Raw Values'!$AF34))</f>
        <v>10.954397172314478</v>
      </c>
      <c r="AC34" s="79">
        <f>('Raw Values'!$AM34+AB34)*(0.1^('Raw Values'!$F34/'Raw Values'!$AF34))</f>
        <v>10.954657742392968</v>
      </c>
      <c r="AD34" s="79">
        <f>('Raw Values'!$AM34+AC34)*(0.1^('Raw Values'!$F34/'Raw Values'!$AF34))</f>
        <v>10.954816726067016</v>
      </c>
      <c r="AE34" s="79">
        <f>('Raw Values'!$AM34+AD34)*(0.1^('Raw Values'!$F34/'Raw Values'!$AF34))</f>
        <v>10.954913728028099</v>
      </c>
      <c r="AF34" s="190"/>
      <c r="AG34" s="190"/>
      <c r="AH34" s="190"/>
      <c r="AI34" s="190"/>
      <c r="AJ34" s="190"/>
    </row>
    <row r="35" spans="1:36" ht="15.75" customHeight="1" x14ac:dyDescent="0.15">
      <c r="A35" s="36" t="s">
        <v>173</v>
      </c>
      <c r="B35" s="83">
        <f>'Raw Values'!F35</f>
        <v>0.11</v>
      </c>
      <c r="C35" s="15">
        <f>'Raw Values'!V35</f>
        <v>7.95</v>
      </c>
      <c r="D35" s="22">
        <f>'Raw Values'!AE35</f>
        <v>0.45288600000000001</v>
      </c>
      <c r="E35" s="33" t="s">
        <v>236</v>
      </c>
      <c r="F35" s="176"/>
      <c r="G35" s="21">
        <v>0</v>
      </c>
      <c r="H35" s="114">
        <f>('Raw Values'!$V35)*(0.1^('Raw Values'!$F35/'Raw Values'!$AE35))</f>
        <v>4.5444402506061374</v>
      </c>
      <c r="I35" s="114">
        <f>('Raw Values'!$V35+H35)*(0.1^('Raw Values'!$F35/'Raw Values'!$AE35))</f>
        <v>7.1421681992010022</v>
      </c>
      <c r="J35" s="114">
        <f>('Raw Values'!$V35+I35)*(0.1^('Raw Values'!$F35/Analysis!$L35))</f>
        <v>8.6271014633166008</v>
      </c>
      <c r="K35" s="114">
        <f>('Raw Values'!$V35+J35)*(0.1^('Raw Values'!$F35/Analysis!$M35))</f>
        <v>9.4759304563871538</v>
      </c>
      <c r="L35" s="114">
        <f>('Raw Values'!$V35+K35)*(0.1^('Raw Values'!$F35/'Raw Values'!$AF35))</f>
        <v>9.9611446251910891</v>
      </c>
      <c r="M35" s="114">
        <f>('Raw Values'!$V35+L35)*(0.1^('Raw Values'!$F35/'Raw Values'!$AF35))</f>
        <v>10.238506486685052</v>
      </c>
      <c r="N35" s="114">
        <f>('Raw Values'!$V35+M35)*(0.1^('Raw Values'!$F35/'Raw Values'!$AF35))</f>
        <v>10.397054210880803</v>
      </c>
      <c r="O35" s="114">
        <f>('Raw Values'!$V35+N35)*(0.1^('Raw Values'!$F35/'Raw Values'!$AF35))</f>
        <v>10.487684482513151</v>
      </c>
      <c r="P35" s="114">
        <f>('Raw Values'!$V35+O35)*(0.1^('Raw Values'!$F35/'Raw Values'!$AF35))</f>
        <v>10.539491256642636</v>
      </c>
      <c r="Q35" s="114">
        <f>('Raw Values'!$V35+P35)*(0.1^('Raw Values'!$F35/'Raw Values'!$AF35))</f>
        <v>10.569105444014724</v>
      </c>
      <c r="R35" s="114">
        <f>('Raw Values'!$V35+Q35)*(0.1^('Raw Values'!$F35/'Raw Values'!$AF35))</f>
        <v>10.586033733962234</v>
      </c>
      <c r="S35" s="114">
        <f>('Raw Values'!$V35+R35)*(0.1^('Raw Values'!$F35/'Raw Values'!$AF35))</f>
        <v>10.59571041348568</v>
      </c>
      <c r="T35" s="114">
        <f>('Raw Values'!$V35+S35)*(0.1^('Raw Values'!$F35/'Raw Values'!$AF35))</f>
        <v>10.601241871588643</v>
      </c>
      <c r="U35" s="114">
        <f>('Raw Values'!$V35+T35)*(0.1^('Raw Values'!$F35/'Raw Values'!$AF35))</f>
        <v>10.604403806286461</v>
      </c>
      <c r="V35" s="114">
        <f>('Raw Values'!$V35+U35)*(0.1^('Raw Values'!$F35/'Raw Values'!$AF35))</f>
        <v>10.606211255759487</v>
      </c>
      <c r="W35" s="114">
        <f>('Raw Values'!$V35+V35)*(0.1^('Raw Values'!$F35/'Raw Values'!$AF35))</f>
        <v>10.607244443952712</v>
      </c>
      <c r="X35" s="114">
        <f>('Raw Values'!$V35+W35)*(0.1^('Raw Values'!$F35/'Raw Values'!$AF35))</f>
        <v>10.607835042947901</v>
      </c>
      <c r="Y35" s="114">
        <f>('Raw Values'!$V35+X35)*(0.1^('Raw Values'!$F35/'Raw Values'!$AF35))</f>
        <v>10.608172645695788</v>
      </c>
      <c r="Z35" s="114">
        <f>('Raw Values'!$V35+Y35)*(0.1^('Raw Values'!$F35/'Raw Values'!$AF35))</f>
        <v>10.608365628779589</v>
      </c>
      <c r="AA35" s="114">
        <f>('Raw Values'!$V35+Z35)*(0.1^('Raw Values'!$F35/'Raw Values'!$AF35))</f>
        <v>10.608475943256787</v>
      </c>
      <c r="AB35" s="114">
        <f>('Raw Values'!$V35+AA35)*(0.1^('Raw Values'!$F35/'Raw Values'!$AF35))</f>
        <v>10.608539002068158</v>
      </c>
      <c r="AC35" s="114">
        <f>('Raw Values'!$V35+AB35)*(0.1^('Raw Values'!$F35/'Raw Values'!$AF35))</f>
        <v>10.608575048231748</v>
      </c>
      <c r="AD35" s="114">
        <f>('Raw Values'!$V35+AC35)*(0.1^('Raw Values'!$F35/'Raw Values'!$AF35))</f>
        <v>10.608595653217497</v>
      </c>
      <c r="AE35" s="114">
        <f>('Raw Values'!$V35+AD35)*(0.1^('Raw Values'!$F35/'Raw Values'!$AF35))</f>
        <v>10.608607431598202</v>
      </c>
      <c r="AF35" s="114">
        <f>('Raw Values'!$V35+AE35)*(0.1^('Raw Values'!$F35/'Raw Values'!$AF35))</f>
        <v>10.608614164446925</v>
      </c>
      <c r="AG35" s="114">
        <f>('Raw Values'!$V35+AF35)*(0.1^('Raw Values'!$F35/'Raw Values'!$AF35))</f>
        <v>10.608618013129787</v>
      </c>
      <c r="AH35" s="114">
        <f>('Raw Values'!$V35+AG35)*(0.1^('Raw Values'!$F35/'Raw Values'!$AF35))</f>
        <v>10.608620213143537</v>
      </c>
      <c r="AI35" s="114">
        <f>('Raw Values'!$V35+AH35)*(0.1^('Raw Values'!$F35/'Raw Values'!$AF35))</f>
        <v>10.608621470732345</v>
      </c>
      <c r="AJ35" s="114">
        <f>('Raw Values'!$V35+AI35)*(0.1^('Raw Values'!$F35/'Raw Values'!$AF35))</f>
        <v>10.608622189604949</v>
      </c>
    </row>
    <row r="36" spans="1:36" ht="15.75" customHeight="1" x14ac:dyDescent="0.15">
      <c r="A36" s="39"/>
      <c r="B36" s="101"/>
      <c r="C36" s="41"/>
      <c r="D36" s="178"/>
      <c r="E36" s="178"/>
      <c r="F36" s="179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5.75" customHeight="1" x14ac:dyDescent="0.15">
      <c r="A37" s="1" t="s">
        <v>79</v>
      </c>
      <c r="B37" s="69" t="s">
        <v>95</v>
      </c>
      <c r="C37" s="4" t="s">
        <v>234</v>
      </c>
      <c r="D37" s="7" t="s">
        <v>27</v>
      </c>
      <c r="E37" s="7" t="s">
        <v>235</v>
      </c>
      <c r="F37" s="174"/>
      <c r="G37" s="175">
        <v>1</v>
      </c>
      <c r="H37" s="175">
        <v>2</v>
      </c>
      <c r="I37" s="175">
        <v>3</v>
      </c>
      <c r="J37" s="175">
        <v>4</v>
      </c>
      <c r="K37" s="175">
        <v>5</v>
      </c>
      <c r="L37" s="175">
        <v>6</v>
      </c>
      <c r="M37" s="175">
        <v>7</v>
      </c>
      <c r="N37" s="175">
        <v>8</v>
      </c>
      <c r="O37" s="175">
        <v>9</v>
      </c>
      <c r="P37" s="175">
        <v>10</v>
      </c>
      <c r="Q37" s="175">
        <v>11</v>
      </c>
      <c r="R37" s="175">
        <v>12</v>
      </c>
      <c r="S37" s="175">
        <v>13</v>
      </c>
      <c r="T37" s="175">
        <v>14</v>
      </c>
      <c r="U37" s="175">
        <v>15</v>
      </c>
      <c r="V37" s="175">
        <v>16</v>
      </c>
      <c r="W37" s="175">
        <v>17</v>
      </c>
      <c r="X37" s="175">
        <v>18</v>
      </c>
      <c r="Y37" s="175">
        <v>19</v>
      </c>
      <c r="Z37" s="175">
        <v>20</v>
      </c>
      <c r="AA37" s="175">
        <v>21</v>
      </c>
      <c r="AB37" s="175">
        <v>22</v>
      </c>
      <c r="AC37" s="175">
        <v>23</v>
      </c>
      <c r="AD37" s="175">
        <v>24</v>
      </c>
      <c r="AE37" s="175">
        <v>25</v>
      </c>
      <c r="AF37" s="175">
        <v>26</v>
      </c>
      <c r="AG37" s="175">
        <v>27</v>
      </c>
      <c r="AH37" s="175">
        <v>28</v>
      </c>
      <c r="AI37" s="175">
        <v>29</v>
      </c>
      <c r="AJ37" s="175">
        <v>30</v>
      </c>
    </row>
    <row r="38" spans="1:36" ht="15.75" customHeight="1" x14ac:dyDescent="0.15">
      <c r="A38" s="9" t="s">
        <v>174</v>
      </c>
      <c r="B38" s="83">
        <f>'Raw Values'!F38</f>
        <v>0.08</v>
      </c>
      <c r="C38" s="15">
        <f>'Raw Values'!V38</f>
        <v>3.56</v>
      </c>
      <c r="D38" s="22">
        <f>'Raw Values'!AE38</f>
        <v>0.82893099999999997</v>
      </c>
      <c r="E38" s="33" t="s">
        <v>236</v>
      </c>
      <c r="F38" s="176"/>
      <c r="G38" s="21">
        <v>0</v>
      </c>
      <c r="H38" s="114">
        <f>('Raw Values'!$V38)*(0.1^('Raw Values'!$F38/'Raw Values'!$AE38))</f>
        <v>2.8506254344814814</v>
      </c>
      <c r="I38" s="114">
        <f>('Raw Values'!$V38+H38)*(0.1^('Raw Values'!$F38/'Raw Values'!$AE38))</f>
        <v>5.1332280658614629</v>
      </c>
      <c r="J38" s="114">
        <f>('Raw Values'!$V38+I38)*(0.1^('Raw Values'!$F38/Analysis!$L38))</f>
        <v>6.9609935483968934</v>
      </c>
      <c r="K38" s="114">
        <f>('Raw Values'!$V38+J38)*(0.1^('Raw Values'!$F38/Analysis!$M38))</f>
        <v>8.4245538778302684</v>
      </c>
      <c r="L38" s="114">
        <f>('Raw Values'!$V38+K38)*(0.1^('Raw Values'!$F38/'Raw Values'!$AF38))</f>
        <v>9.5964814901844466</v>
      </c>
      <c r="M38" s="114">
        <f>('Raw Values'!$V38+L38)*(0.1^('Raw Values'!$F38/'Raw Values'!$AF38))</f>
        <v>10.534887855113654</v>
      </c>
      <c r="N38" s="114">
        <f>('Raw Values'!$V38+M38)*(0.1^('Raw Values'!$F38/'Raw Values'!$AF38))</f>
        <v>11.286305004480651</v>
      </c>
      <c r="O38" s="114">
        <f>('Raw Values'!$V38+N38)*(0.1^('Raw Values'!$F38/'Raw Values'!$AF38))</f>
        <v>11.887992880292765</v>
      </c>
      <c r="P38" s="114">
        <f>('Raw Values'!$V38+O38)*(0.1^('Raw Values'!$F38/'Raw Values'!$AF38))</f>
        <v>12.369786914677359</v>
      </c>
      <c r="Q38" s="114">
        <f>('Raw Values'!$V38+P38)*(0.1^('Raw Values'!$F38/'Raw Values'!$AF38))</f>
        <v>12.755577456418417</v>
      </c>
      <c r="R38" s="114">
        <f>('Raw Values'!$V38+Q38)*(0.1^('Raw Values'!$F38/'Raw Values'!$AF38))</f>
        <v>13.064494403235678</v>
      </c>
      <c r="S38" s="114">
        <f>('Raw Values'!$V38+R38)*(0.1^('Raw Values'!$F38/'Raw Values'!$AF38))</f>
        <v>13.311855781252431</v>
      </c>
      <c r="T38" s="114">
        <f>('Raw Values'!$V38+S38)*(0.1^('Raw Values'!$F38/'Raw Values'!$AF38))</f>
        <v>13.509927308129665</v>
      </c>
      <c r="U38" s="114">
        <f>('Raw Values'!$V38+T38)*(0.1^('Raw Values'!$F38/'Raw Values'!$AF38))</f>
        <v>13.668530603737198</v>
      </c>
      <c r="V38" s="114">
        <f>('Raw Values'!$V38+U38)*(0.1^('Raw Values'!$F38/'Raw Values'!$AF38))</f>
        <v>13.795530207234789</v>
      </c>
      <c r="W38" s="114">
        <f>('Raw Values'!$V38+V38)*(0.1^('Raw Values'!$F38/'Raw Values'!$AF38))</f>
        <v>13.897223549903131</v>
      </c>
      <c r="X38" s="114">
        <f>('Raw Values'!$V38+W38)*(0.1^('Raw Values'!$F38/'Raw Values'!$AF38))</f>
        <v>13.978653221006448</v>
      </c>
      <c r="Y38" s="114">
        <f>('Raw Values'!$V38+X38)*(0.1^('Raw Values'!$F38/'Raw Values'!$AF38))</f>
        <v>14.043857010772905</v>
      </c>
      <c r="Z38" s="114">
        <f>('Raw Values'!$V38+Y38)*(0.1^('Raw Values'!$F38/'Raw Values'!$AF38))</f>
        <v>14.096068129181008</v>
      </c>
      <c r="AA38" s="114">
        <f>('Raw Values'!$V38+Z38)*(0.1^('Raw Values'!$F38/'Raw Values'!$AF38))</f>
        <v>14.137875528646418</v>
      </c>
      <c r="AB38" s="114">
        <f>('Raw Values'!$V38+AA38)*(0.1^('Raw Values'!$F38/'Raw Values'!$AF38))</f>
        <v>14.171352280406424</v>
      </c>
      <c r="AC38" s="114">
        <f>('Raw Values'!$V38+AB38)*(0.1^('Raw Values'!$F38/'Raw Values'!$AF38))</f>
        <v>14.198158370302743</v>
      </c>
      <c r="AD38" s="114">
        <f>('Raw Values'!$V38+AC38)*(0.1^('Raw Values'!$F38/'Raw Values'!$AF38))</f>
        <v>14.219623011217754</v>
      </c>
      <c r="AE38" s="114">
        <f>('Raw Values'!$V38+AD38)*(0.1^('Raw Values'!$F38/'Raw Values'!$AF38))</f>
        <v>14.236810553727404</v>
      </c>
      <c r="AF38" s="114">
        <f>('Raw Values'!$V38+AE38)*(0.1^('Raw Values'!$F38/'Raw Values'!$AF38))</f>
        <v>14.250573263231402</v>
      </c>
      <c r="AG38" s="114">
        <f>('Raw Values'!$V38+AF38)*(0.1^('Raw Values'!$F38/'Raw Values'!$AF38))</f>
        <v>14.26159358057957</v>
      </c>
      <c r="AH38" s="114">
        <f>('Raw Values'!$V38+AG38)*(0.1^('Raw Values'!$F38/'Raw Values'!$AF38))</f>
        <v>14.27041796173933</v>
      </c>
      <c r="AI38" s="114">
        <f>('Raw Values'!$V38+AH38)*(0.1^('Raw Values'!$F38/'Raw Values'!$AF38))</f>
        <v>14.277483974485838</v>
      </c>
      <c r="AJ38" s="114">
        <f>('Raw Values'!$V38+AI38)*(0.1^('Raw Values'!$F38/'Raw Values'!$AF38))</f>
        <v>14.283141995737402</v>
      </c>
    </row>
    <row r="39" spans="1:36" ht="15.75" customHeight="1" x14ac:dyDescent="0.15">
      <c r="A39" s="9" t="s">
        <v>176</v>
      </c>
      <c r="B39" s="83">
        <f>'Raw Values'!F39</f>
        <v>7.4999999999999997E-2</v>
      </c>
      <c r="C39" s="15">
        <f>'Raw Values'!V39</f>
        <v>30</v>
      </c>
      <c r="D39" s="22">
        <f>'Raw Values'!AE39</f>
        <v>0.3</v>
      </c>
      <c r="E39" s="22">
        <f>'Raw Values'!AF39</f>
        <v>0.1</v>
      </c>
      <c r="F39" s="176"/>
      <c r="G39" s="21">
        <v>0</v>
      </c>
      <c r="H39" s="114">
        <f>('Raw Values'!$V39)*(0.1^('Raw Values'!$F39/'Raw Values'!$AE39))</f>
        <v>16.870239755710472</v>
      </c>
      <c r="I39" s="114">
        <f>('Raw Values'!$V39+H39)*(0.1^('Raw Values'!$F39/'Raw Values'!$AE39))</f>
        <v>26.35707273621561</v>
      </c>
      <c r="J39" s="114">
        <f>('Raw Values'!$V39+I39)*(0.1^('Raw Values'!$F39/'Raw Values'!$AE39))</f>
        <v>31.691910966332379</v>
      </c>
      <c r="K39" s="114">
        <f>('Raw Values'!$V39+J39)*(0.1^('Raw Values'!$F39/'Raw Values'!$AE39))</f>
        <v>34.691910966332379</v>
      </c>
      <c r="L39" s="114">
        <f>('Raw Values'!$V39+K39)*(0.1^('Raw Values'!$F39/'Raw Values'!$AE39))</f>
        <v>36.378934941903431</v>
      </c>
      <c r="M39" s="114">
        <f>('Raw Values'!$V39+L39)*(0.1^('Raw Values'!$F39/'Raw Values'!$AE39))</f>
        <v>37.327618239953935</v>
      </c>
      <c r="N39" s="114">
        <f>('Raw Values'!$V39+M39)*(0.1^('Raw Values'!$F39/'Raw Values'!$AE39))</f>
        <v>37.861102062965614</v>
      </c>
      <c r="O39" s="114">
        <f>('Raw Values'!$V39+N39)*(0.1^('Raw Values'!$F39/'Raw Values'!$AE39))</f>
        <v>38.161102062965618</v>
      </c>
      <c r="P39" s="114">
        <f>('Raw Values'!$V39+O39)*(0.1^('Raw Values'!$F39/'Raw Values'!$AE39))</f>
        <v>38.329804460522723</v>
      </c>
      <c r="Q39" s="114">
        <f>('Raw Values'!$V39+P39)*(0.1^('Raw Values'!$F39/Analysis!$S39))</f>
        <v>32.597298279026802</v>
      </c>
      <c r="R39" s="114">
        <f>('Raw Values'!$V39+Q39)*(0.1^('Raw Values'!$F39/Analysis!$T39))</f>
        <v>22.210359559246562</v>
      </c>
      <c r="S39" s="114">
        <f>('Raw Values'!$V39+R39)*(0.1^('Raw Values'!$F39/'Raw Values'!$AF39))</f>
        <v>9.2844607394937064</v>
      </c>
      <c r="T39" s="114">
        <f>('Raw Values'!$V39+S39)*(0.1^('Raw Values'!$F39/'Raw Values'!$AF39))</f>
        <v>6.9858747667524135</v>
      </c>
      <c r="U39" s="114">
        <f>('Raw Values'!$V39+T39)*(0.1^('Raw Values'!$F39/'Raw Values'!$AF39))</f>
        <v>6.5771219559994005</v>
      </c>
      <c r="V39" s="114">
        <f>('Raw Values'!$V39+U39)*(0.1^('Raw Values'!$F39/'Raw Values'!$AF39))</f>
        <v>6.5044342852836383</v>
      </c>
      <c r="W39" s="114">
        <f>('Raw Values'!$V39+V39)*(0.1^('Raw Values'!$F39/'Raw Values'!$AF39))</f>
        <v>6.4915083864638845</v>
      </c>
      <c r="X39" s="114">
        <f>('Raw Values'!$V39+W39)*(0.1^('Raw Values'!$F39/'Raw Values'!$AF39))</f>
        <v>6.4892098004911434</v>
      </c>
      <c r="Y39" s="114">
        <f>('Raw Values'!$V39+X39)*(0.1^('Raw Values'!$F39/'Raw Values'!$AF39))</f>
        <v>6.4888010476803908</v>
      </c>
      <c r="Z39" s="114">
        <f>('Raw Values'!$V39+Y39)*(0.1^('Raw Values'!$F39/'Raw Values'!$AF39))</f>
        <v>6.4887283600096746</v>
      </c>
      <c r="AA39" s="114">
        <f>('Raw Values'!$V39+Z39)*(0.1^('Raw Values'!$F39/'Raw Values'!$AF39))</f>
        <v>6.4887154341108548</v>
      </c>
      <c r="AB39" s="114">
        <f>('Raw Values'!$V39+AA39)*(0.1^('Raw Values'!$F39/'Raw Values'!$AF39))</f>
        <v>6.4887131355248826</v>
      </c>
      <c r="AC39" s="114">
        <f>('Raw Values'!$V39+AB39)*(0.1^('Raw Values'!$F39/'Raw Values'!$AF39))</f>
        <v>6.4887127267720714</v>
      </c>
      <c r="AD39" s="114">
        <f>('Raw Values'!$V39+AC39)*(0.1^('Raw Values'!$F39/'Raw Values'!$AF39))</f>
        <v>6.4887126540844005</v>
      </c>
      <c r="AE39" s="114">
        <f>('Raw Values'!$V39+AD39)*(0.1^('Raw Values'!$F39/'Raw Values'!$AF39))</f>
        <v>6.4887126411585019</v>
      </c>
      <c r="AF39" s="114">
        <f>('Raw Values'!$V39+AE39)*(0.1^('Raw Values'!$F39/'Raw Values'!$AF39))</f>
        <v>6.4887126388599157</v>
      </c>
      <c r="AG39" s="114">
        <f>('Raw Values'!$V39+AF39)*(0.1^('Raw Values'!$F39/'Raw Values'!$AF39))</f>
        <v>6.4887126384511635</v>
      </c>
      <c r="AH39" s="114">
        <f>('Raw Values'!$V39+AG39)*(0.1^('Raw Values'!$F39/'Raw Values'!$AF39))</f>
        <v>6.488712638378475</v>
      </c>
      <c r="AI39" s="114">
        <f>('Raw Values'!$V39+AH39)*(0.1^('Raw Values'!$F39/'Raw Values'!$AF39))</f>
        <v>6.4887126383655493</v>
      </c>
      <c r="AJ39" s="114">
        <f>('Raw Values'!$V39+AI39)*(0.1^('Raw Values'!$F39/'Raw Values'!$AF39))</f>
        <v>6.4887126383632507</v>
      </c>
    </row>
    <row r="40" spans="1:36" ht="15.75" customHeight="1" x14ac:dyDescent="0.15">
      <c r="A40" s="39"/>
      <c r="B40" s="101"/>
      <c r="C40" s="177"/>
      <c r="D40" s="178"/>
      <c r="E40" s="178"/>
      <c r="F40" s="179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spans="1:36" ht="15.75" customHeight="1" x14ac:dyDescent="0.15">
      <c r="A41" s="1" t="s">
        <v>82</v>
      </c>
      <c r="B41" s="69" t="s">
        <v>95</v>
      </c>
      <c r="C41" s="4" t="s">
        <v>234</v>
      </c>
      <c r="D41" s="7" t="s">
        <v>27</v>
      </c>
      <c r="E41" s="7" t="s">
        <v>235</v>
      </c>
      <c r="F41" s="174"/>
      <c r="G41" s="175">
        <v>1</v>
      </c>
      <c r="H41" s="175">
        <v>2</v>
      </c>
      <c r="I41" s="175">
        <v>3</v>
      </c>
      <c r="J41" s="175">
        <v>4</v>
      </c>
      <c r="K41" s="175">
        <v>5</v>
      </c>
      <c r="L41" s="175">
        <v>6</v>
      </c>
      <c r="M41" s="175">
        <v>7</v>
      </c>
      <c r="N41" s="175">
        <v>8</v>
      </c>
      <c r="O41" s="175">
        <v>9</v>
      </c>
      <c r="P41" s="175">
        <v>10</v>
      </c>
      <c r="Q41" s="175">
        <v>11</v>
      </c>
      <c r="R41" s="175">
        <v>12</v>
      </c>
      <c r="S41" s="175">
        <v>13</v>
      </c>
      <c r="T41" s="175">
        <v>14</v>
      </c>
      <c r="U41" s="175">
        <v>15</v>
      </c>
      <c r="V41" s="175">
        <v>16</v>
      </c>
      <c r="W41" s="175">
        <v>17</v>
      </c>
      <c r="X41" s="175">
        <v>18</v>
      </c>
      <c r="Y41" s="175">
        <v>19</v>
      </c>
      <c r="Z41" s="175">
        <v>20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spans="1:36" ht="15.75" customHeight="1" x14ac:dyDescent="0.15">
      <c r="A42" s="9" t="s">
        <v>177</v>
      </c>
      <c r="B42" s="83">
        <f>'Raw Values'!F42</f>
        <v>1.4550000000000001</v>
      </c>
      <c r="C42" s="15">
        <f>'Raw Values'!V42</f>
        <v>53.85</v>
      </c>
      <c r="D42" s="22">
        <f>'Raw Values'!AE42</f>
        <v>0.34538999999999997</v>
      </c>
      <c r="E42" s="33" t="s">
        <v>236</v>
      </c>
      <c r="F42" s="176"/>
      <c r="G42" s="21">
        <v>0</v>
      </c>
      <c r="H42" s="114">
        <f>('Raw Values'!$V42)*(0.1^('Raw Values'!$F42/'Raw Values'!$AE42))</f>
        <v>3.3003234547932222E-3</v>
      </c>
      <c r="I42" s="114">
        <f>('Raw Values'!$V42+H42)*(0.1^('Raw Values'!$F42/'Raw Values'!$AE42))</f>
        <v>3.3005257228509058E-3</v>
      </c>
      <c r="J42" s="114">
        <f>('Raw Values'!$V42+I42)*(0.1^('Raw Values'!$F42/Analysis!$L42))</f>
        <v>3.3005257352473772E-3</v>
      </c>
      <c r="K42" s="114">
        <f>('Raw Values'!$V42+J42)*(0.1^('Raw Values'!$F42/Analysis!$M42))</f>
        <v>3.3005257352481374E-3</v>
      </c>
      <c r="L42" s="114">
        <f>('Raw Values'!$V42+K42)*(0.1^('Raw Values'!$F42/'Raw Values'!$AF42))</f>
        <v>3.3005257352481374E-3</v>
      </c>
      <c r="M42" s="114">
        <f>('Raw Values'!$V42+L42)*(0.1^('Raw Values'!$F42/'Raw Values'!$AF42))</f>
        <v>3.3005257352481374E-3</v>
      </c>
      <c r="N42" s="114">
        <f>('Raw Values'!$V42+M42)*(0.1^('Raw Values'!$F42/'Raw Values'!$AF42))</f>
        <v>3.3005257352481374E-3</v>
      </c>
      <c r="O42" s="114">
        <f>('Raw Values'!$V42+N42)*(0.1^('Raw Values'!$F42/'Raw Values'!$AF42))</f>
        <v>3.3005257352481374E-3</v>
      </c>
      <c r="P42" s="114">
        <f>('Raw Values'!$V42+O42)*(0.1^('Raw Values'!$F42/'Raw Values'!$AF42))</f>
        <v>3.3005257352481374E-3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spans="1:36" ht="15.75" customHeight="1" x14ac:dyDescent="0.15">
      <c r="A43" s="36" t="s">
        <v>179</v>
      </c>
      <c r="B43" s="83">
        <f>'Raw Values'!F43</f>
        <v>0.25</v>
      </c>
      <c r="C43" s="15">
        <f>'Raw Values'!V43</f>
        <v>18.61</v>
      </c>
      <c r="D43" s="22">
        <f>'Raw Values'!AE43</f>
        <v>0.54433100000000001</v>
      </c>
      <c r="E43" s="33" t="s">
        <v>236</v>
      </c>
      <c r="F43" s="176"/>
      <c r="G43" s="21">
        <v>0</v>
      </c>
      <c r="H43" s="114">
        <f>('Raw Values'!$V43)*(0.1^('Raw Values'!$F43/'Raw Values'!$AE43))</f>
        <v>6.4634888036064346</v>
      </c>
      <c r="I43" s="114">
        <f>('Raw Values'!$V43+H43)*(0.1^('Raw Values'!$F43/'Raw Values'!$AE43))</f>
        <v>8.7083403626792855</v>
      </c>
      <c r="J43" s="114">
        <f>('Raw Values'!$V43+I43)*(0.1^('Raw Values'!$F43/Analysis!$L43))</f>
        <v>9.4880057532126454</v>
      </c>
      <c r="K43" s="114">
        <f>('Raw Values'!$V43+J43)*(0.1^('Raw Values'!$F43/Analysis!$M43))</f>
        <v>9.7587934223298838</v>
      </c>
      <c r="L43" s="114">
        <f>('Raw Values'!$V43+K43)*(0.1^('Raw Values'!$F43/'Raw Values'!$AF43))</f>
        <v>9.8528414109109654</v>
      </c>
      <c r="M43" s="114">
        <f>('Raw Values'!$V43+L43)*(0.1^('Raw Values'!$F43/'Raw Values'!$AF43))</f>
        <v>9.8855054690085229</v>
      </c>
      <c r="N43" s="114">
        <f>('Raw Values'!$V43+M43)*(0.1^('Raw Values'!$F43/'Raw Values'!$AF43))</f>
        <v>9.8968501102655839</v>
      </c>
      <c r="O43" s="114">
        <f>('Raw Values'!$V43+N43)*(0.1^('Raw Values'!$F43/'Raw Values'!$AF43))</f>
        <v>9.9007902479198524</v>
      </c>
      <c r="P43" s="114">
        <f>('Raw Values'!$V43+O43)*(0.1^('Raw Values'!$F43/'Raw Values'!$AF43))</f>
        <v>9.9021587076518802</v>
      </c>
      <c r="Q43" s="114">
        <f>('Raw Values'!$V43+P43)*(0.1^('Raw Values'!$F43/'Raw Values'!$AF43))</f>
        <v>9.9026339910562946</v>
      </c>
      <c r="R43" s="114">
        <f>('Raw Values'!$V43+Q43)*(0.1^('Raw Values'!$F43/'Raw Values'!$AF43))</f>
        <v>9.9027990630048688</v>
      </c>
      <c r="S43" s="114">
        <f>('Raw Values'!$V43+R43)*(0.1^('Raw Values'!$F43/'Raw Values'!$AF43))</f>
        <v>9.9028563945842034</v>
      </c>
      <c r="T43" s="114">
        <f>('Raw Values'!$V43+S43)*(0.1^('Raw Values'!$F43/'Raw Values'!$AF43))</f>
        <v>9.9028763065681442</v>
      </c>
      <c r="U43" s="114">
        <f>('Raw Values'!$V43+T43)*(0.1^('Raw Values'!$F43/'Raw Values'!$AF43))</f>
        <v>9.9028832222524663</v>
      </c>
      <c r="V43" s="114">
        <f>('Raw Values'!$V43+U43)*(0.1^('Raw Values'!$F43/'Raw Values'!$AF43))</f>
        <v>9.9028856241572587</v>
      </c>
      <c r="W43" s="114">
        <f>('Raw Values'!$V43+V43)*(0.1^('Raw Values'!$F43/'Raw Values'!$AF43))</f>
        <v>9.9028864583692258</v>
      </c>
      <c r="X43" s="114">
        <f>('Raw Values'!$V43+W43)*(0.1^('Raw Values'!$F43/'Raw Values'!$AF43))</f>
        <v>9.9028867481016132</v>
      </c>
      <c r="Y43" s="114">
        <f>('Raw Values'!$V43+X43)*(0.1^('Raw Values'!$F43/'Raw Values'!$AF43))</f>
        <v>9.9028868487293433</v>
      </c>
      <c r="Z43" s="21">
        <f>('Raw Values'!$V43+Y43)*(0.1^('Raw Values'!$F43/'Raw Values'!$AF43))</f>
        <v>9.9028868836786295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spans="1:36" ht="15.75" customHeight="1" x14ac:dyDescent="0.15">
      <c r="A44" s="35" t="s">
        <v>180</v>
      </c>
      <c r="B44" s="83">
        <f>'Raw Values'!F44</f>
        <v>0.25</v>
      </c>
      <c r="C44" s="15">
        <f>'Raw Values'!V44</f>
        <v>18.61</v>
      </c>
      <c r="D44" s="22">
        <f>'Raw Values'!AE44</f>
        <v>0.54433100000000001</v>
      </c>
      <c r="E44" s="33" t="s">
        <v>236</v>
      </c>
      <c r="F44" s="176"/>
      <c r="G44" s="21">
        <v>0</v>
      </c>
      <c r="H44" s="114">
        <f>('Raw Values'!$V44)*(0.1^('Raw Values'!$F44/'Raw Values'!$AE44))</f>
        <v>6.4634888036064346</v>
      </c>
      <c r="I44" s="114">
        <f>('Raw Values'!$V44+H44)*(0.1^('Raw Values'!$F44/'Raw Values'!$AE44))</f>
        <v>8.7083403626792855</v>
      </c>
      <c r="J44" s="114">
        <f>('Raw Values'!$V44+I44)*(0.1^('Raw Values'!$F44/Analysis!$L44))</f>
        <v>9.4880057532126454</v>
      </c>
      <c r="K44" s="114">
        <f>('Raw Values'!$V44+J44)*(0.1^('Raw Values'!$F44/Analysis!$M44))</f>
        <v>9.7587934223298838</v>
      </c>
      <c r="L44" s="114">
        <f>('Raw Values'!$V44+K44)*(0.1^('Raw Values'!$F44/'Raw Values'!$AF44))</f>
        <v>9.8528414109109654</v>
      </c>
      <c r="M44" s="114">
        <f>('Raw Values'!$V44+L44)*(0.1^('Raw Values'!$F44/'Raw Values'!$AF44))</f>
        <v>9.8855054690085229</v>
      </c>
      <c r="N44" s="114">
        <f>('Raw Values'!$V44+M44)*(0.1^('Raw Values'!$F44/'Raw Values'!$AF44))</f>
        <v>9.8968501102655839</v>
      </c>
      <c r="O44" s="114">
        <f>('Raw Values'!$V44+N44)*(0.1^('Raw Values'!$F44/'Raw Values'!$AF44))</f>
        <v>9.9007902479198524</v>
      </c>
      <c r="P44" s="114">
        <f>('Raw Values'!$V44+O44)*(0.1^('Raw Values'!$F44/'Raw Values'!$AF44))</f>
        <v>9.9021587076518802</v>
      </c>
      <c r="Q44" s="114">
        <f>('Raw Values'!$V44+P44)*(0.1^('Raw Values'!$F44/'Raw Values'!$AF44))</f>
        <v>9.9026339910562946</v>
      </c>
      <c r="R44" s="114">
        <f>('Raw Values'!$V44+Q44)*(0.1^('Raw Values'!$F44/'Raw Values'!$AF44))</f>
        <v>9.9027990630048688</v>
      </c>
      <c r="S44" s="114">
        <f>('Raw Values'!$V44+R44)*(0.1^('Raw Values'!$F44/'Raw Values'!$AF44))</f>
        <v>9.9028563945842034</v>
      </c>
      <c r="T44" s="114">
        <f>('Raw Values'!$V44+S44)*(0.1^('Raw Values'!$F44/'Raw Values'!$AF44))</f>
        <v>9.9028763065681442</v>
      </c>
      <c r="U44" s="114">
        <f>('Raw Values'!$V44+T44)*(0.1^('Raw Values'!$F44/'Raw Values'!$AF44))</f>
        <v>9.9028832222524663</v>
      </c>
      <c r="V44" s="114">
        <f>('Raw Values'!$V44+U44)*(0.1^('Raw Values'!$F44/'Raw Values'!$AF44))</f>
        <v>9.9028856241572587</v>
      </c>
      <c r="W44" s="114">
        <f>('Raw Values'!$V44+V44)*(0.1^('Raw Values'!$F44/'Raw Values'!$AF44))</f>
        <v>9.9028864583692258</v>
      </c>
      <c r="X44" s="114">
        <f>('Raw Values'!$V44+W44)*(0.1^('Raw Values'!$F44/'Raw Values'!$AF44))</f>
        <v>9.9028867481016132</v>
      </c>
      <c r="Y44" s="114">
        <f>('Raw Values'!$V44+X44)*(0.1^('Raw Values'!$F44/'Raw Values'!$AF44))</f>
        <v>9.9028868487293433</v>
      </c>
      <c r="Z44" s="21">
        <f>('Raw Values'!$V44+Y44)*(0.1^('Raw Values'!$F44/'Raw Values'!$AF44))</f>
        <v>9.9028868836786295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spans="1:36" ht="15.75" customHeight="1" x14ac:dyDescent="0.15">
      <c r="A45" s="9" t="s">
        <v>181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33" t="s">
        <v>236</v>
      </c>
      <c r="F45" s="176"/>
      <c r="G45" s="21">
        <v>0</v>
      </c>
      <c r="H45" s="114">
        <f>('Raw Values'!$V45)*(0.1^('Raw Values'!$F45/'Raw Values'!$AE45))</f>
        <v>3.6588524104589608E-8</v>
      </c>
      <c r="I45" s="114">
        <f>('Raw Values'!$V45+H45)*(0.1^('Raw Values'!$F45/'Raw Values'!$AE45))</f>
        <v>3.6588524162997989E-8</v>
      </c>
      <c r="J45" s="114">
        <f>('Raw Values'!$V45+I45)*(0.1^('Raw Values'!$F45/Analysis!$L45))</f>
        <v>3.6588524162997989E-8</v>
      </c>
      <c r="K45" s="114">
        <f>('Raw Values'!$V45+J45)*(0.1^('Raw Values'!$F45/Analysis!$M45))</f>
        <v>3.6588524162997989E-8</v>
      </c>
      <c r="L45" s="114">
        <f>('Raw Values'!$V45+K45)*(0.1^('Raw Values'!$F45/'Raw Values'!$AF45))</f>
        <v>3.6588524162997989E-8</v>
      </c>
      <c r="M45" s="114">
        <f>('Raw Values'!$V45+L45)*(0.1^('Raw Values'!$F45/'Raw Values'!$AF45))</f>
        <v>3.6588524162997989E-8</v>
      </c>
      <c r="N45" s="114">
        <f>('Raw Values'!$V45+M45)*(0.1^('Raw Values'!$F45/'Raw Values'!$AF45))</f>
        <v>3.6588524162997989E-8</v>
      </c>
      <c r="O45" s="114">
        <f>('Raw Values'!$V45+N45)*(0.1^('Raw Values'!$F45/'Raw Values'!$AF45))</f>
        <v>3.6588524162997989E-8</v>
      </c>
      <c r="P45" s="114">
        <f>('Raw Values'!$V45+O45)*(0.1^('Raw Values'!$F45/'Raw Values'!$AF45))</f>
        <v>3.6588524162997989E-8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" width="11.6640625" customWidth="1"/>
    <col min="6" max="6" width="4.5" customWidth="1"/>
    <col min="7" max="36" width="11.6640625" customWidth="1"/>
  </cols>
  <sheetData>
    <row r="1" spans="1:36" ht="15.75" customHeight="1" x14ac:dyDescent="0.15">
      <c r="A1" s="1" t="s">
        <v>0</v>
      </c>
      <c r="B1" s="69" t="str">
        <f>'Firing Inaccuracy(Standing) Raw'!B1</f>
        <v>CycleTime</v>
      </c>
      <c r="C1" s="4" t="str">
        <f>'Firing Inaccuracy(Standing) Raw'!C1</f>
        <v>Inaccuracy
Fire</v>
      </c>
      <c r="D1" s="7" t="str">
        <f>'Firing Inaccuracy(Standing) Raw'!D1</f>
        <v>Recovery
TimeStand</v>
      </c>
      <c r="E1" s="7" t="str">
        <f>'Firing Inaccuracy(Standing) Raw'!E1</f>
        <v>RecoveryTime
StandFinal</v>
      </c>
      <c r="F1" s="174">
        <f>'Firing Inaccuracy(Standing) Raw'!F1</f>
        <v>0</v>
      </c>
      <c r="G1" s="175">
        <f>'Firing Inaccuracy(Standing) Raw'!G1</f>
        <v>1</v>
      </c>
      <c r="H1" s="175">
        <f>'Firing Inaccuracy(Standing) Raw'!H1</f>
        <v>2</v>
      </c>
      <c r="I1" s="175">
        <f>'Firing Inaccuracy(Standing) Raw'!I1</f>
        <v>3</v>
      </c>
      <c r="J1" s="175">
        <f>'Firing Inaccuracy(Standing) Raw'!J1</f>
        <v>4</v>
      </c>
      <c r="K1" s="175">
        <f>'Firing Inaccuracy(Standing) Raw'!K1</f>
        <v>5</v>
      </c>
      <c r="L1" s="175">
        <f>'Firing Inaccuracy(Standing) Raw'!L1</f>
        <v>6</v>
      </c>
      <c r="M1" s="175">
        <f>'Firing Inaccuracy(Standing) Raw'!M1</f>
        <v>7</v>
      </c>
      <c r="N1" s="175">
        <f>'Firing Inaccuracy(Standing) Raw'!N1</f>
        <v>8</v>
      </c>
      <c r="O1" s="175">
        <f>'Firing Inaccuracy(Standing) Raw'!O1</f>
        <v>9</v>
      </c>
      <c r="P1" s="175">
        <f>'Firing Inaccuracy(Standing) Raw'!P1</f>
        <v>10</v>
      </c>
      <c r="Q1" s="175">
        <f>'Firing Inaccuracy(Standing) Raw'!Q1</f>
        <v>11</v>
      </c>
      <c r="R1" s="175">
        <f>'Firing Inaccuracy(Standing) Raw'!R1</f>
        <v>12</v>
      </c>
      <c r="S1" s="175">
        <f>'Firing Inaccuracy(Standing) Raw'!S1</f>
        <v>13</v>
      </c>
      <c r="T1" s="175">
        <f>'Firing Inaccuracy(Standing) Raw'!T1</f>
        <v>14</v>
      </c>
      <c r="U1" s="175">
        <f>'Firing Inaccuracy(Standing) Raw'!U1</f>
        <v>15</v>
      </c>
      <c r="V1" s="175">
        <f>'Firing Inaccuracy(Standing) Raw'!V1</f>
        <v>16</v>
      </c>
      <c r="W1" s="175">
        <f>'Firing Inaccuracy(Standing) Raw'!W1</f>
        <v>17</v>
      </c>
      <c r="X1" s="175">
        <f>'Firing Inaccuracy(Standing) Raw'!X1</f>
        <v>18</v>
      </c>
      <c r="Y1" s="175">
        <f>'Firing Inaccuracy(Standing) Raw'!Y1</f>
        <v>19</v>
      </c>
      <c r="Z1" s="175">
        <f>'Firing Inaccuracy(Standing) Raw'!Z1</f>
        <v>20</v>
      </c>
      <c r="AA1" s="175">
        <f>'Firing Inaccuracy(Standing) Raw'!AA1</f>
        <v>21</v>
      </c>
      <c r="AB1" s="175">
        <f>'Firing Inaccuracy(Standing) Raw'!AB1</f>
        <v>22</v>
      </c>
      <c r="AC1" s="175">
        <f>'Firing Inaccuracy(Standing) Raw'!AC1</f>
        <v>23</v>
      </c>
      <c r="AD1" s="175">
        <f>'Firing Inaccuracy(Standing) Raw'!AD1</f>
        <v>24</v>
      </c>
      <c r="AE1" s="175">
        <f>'Firing Inaccuracy(Standing) Raw'!AE1</f>
        <v>25</v>
      </c>
      <c r="AF1" s="175">
        <f>'Firing Inaccuracy(Standing) Raw'!AF1</f>
        <v>26</v>
      </c>
      <c r="AG1" s="175">
        <f>'Firing Inaccuracy(Standing) Raw'!AG1</f>
        <v>27</v>
      </c>
      <c r="AH1" s="175">
        <f>'Firing Inaccuracy(Standing) Raw'!AH1</f>
        <v>28</v>
      </c>
      <c r="AI1" s="175">
        <f>'Firing Inaccuracy(Standing) Raw'!AI1</f>
        <v>29</v>
      </c>
      <c r="AJ1" s="175">
        <f>'Firing Inaccuracy(Standing) Raw'!AJ1</f>
        <v>30</v>
      </c>
    </row>
    <row r="2" spans="1:36" ht="15.75" customHeight="1" x14ac:dyDescent="0.15">
      <c r="A2" s="9" t="s">
        <v>142</v>
      </c>
      <c r="B2" s="83">
        <f>'Firing Inaccuracy(Standing) Raw'!B2</f>
        <v>0.22500000000000001</v>
      </c>
      <c r="C2" s="15">
        <f>'Firing Inaccuracy(Standing) Raw'!C2</f>
        <v>72.23</v>
      </c>
      <c r="D2" s="22">
        <f>'Firing Inaccuracy(Standing) Raw'!D2</f>
        <v>0.81120000000000003</v>
      </c>
      <c r="E2" s="33" t="str">
        <f>'Firing Inaccuracy(Standing) Raw'!E2</f>
        <v>N/A</v>
      </c>
      <c r="F2" s="176">
        <f>'Firing Inaccuracy(Standing) Raw'!F2</f>
        <v>0</v>
      </c>
      <c r="G2" s="21">
        <f>'Firing Inaccuracy(Standing) Raw'!G2+Analysis!C2</f>
        <v>6.2</v>
      </c>
      <c r="H2" s="114">
        <f>'Firing Inaccuracy(Standing) Raw'!H2+Analysis!C2</f>
        <v>44.33737093914494</v>
      </c>
      <c r="I2" s="114">
        <f>'Firing Inaccuracy(Standing) Raw'!I2+Analysis!C2</f>
        <v>64.473866330948013</v>
      </c>
      <c r="J2" s="114">
        <f>'Firing Inaccuracy(Standing) Raw'!J2+Analysis!C2</f>
        <v>75.105916644828369</v>
      </c>
      <c r="K2" s="114">
        <f>'Firing Inaccuracy(Standing) Raw'!K2+Analysis!C2</f>
        <v>80.719629044995983</v>
      </c>
      <c r="L2" s="114">
        <f>'Firing Inaccuracy(Standing) Raw'!L2+Analysis!C2</f>
        <v>83.683663824877883</v>
      </c>
      <c r="M2" s="114">
        <f>'Firing Inaccuracy(Standing) Raw'!M2+Analysis!C2</f>
        <v>85.248671354669966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spans="1:36" ht="15.75" customHeight="1" x14ac:dyDescent="0.15">
      <c r="A3" s="9" t="s">
        <v>144</v>
      </c>
      <c r="B3" s="83">
        <f>'Firing Inaccuracy(Standing) Raw'!B3</f>
        <v>0.4</v>
      </c>
      <c r="C3" s="15">
        <f>'Firing Inaccuracy(Standing) Raw'!C3</f>
        <v>55</v>
      </c>
      <c r="D3" s="22">
        <f>'Firing Inaccuracy(Standing) Raw'!D3</f>
        <v>0.9</v>
      </c>
      <c r="E3" s="33" t="str">
        <f>'Firing Inaccuracy(Standing) Raw'!E3</f>
        <v>N/A</v>
      </c>
      <c r="F3" s="176">
        <f>'Firing Inaccuracy(Standing) Raw'!F3</f>
        <v>0</v>
      </c>
      <c r="G3" s="21">
        <f>'Firing Inaccuracy(Standing) Raw'!G3+Simple!T4</f>
        <v>80</v>
      </c>
      <c r="H3" s="114">
        <f>'Firing Inaccuracy(Standing) Raw'!H3+Simple!T4</f>
        <v>99.765975150925442</v>
      </c>
      <c r="I3" s="114">
        <f>'Firing Inaccuracy(Standing) Raw'!I3+Simple!T4</f>
        <v>106.8694983085073</v>
      </c>
      <c r="J3" s="114">
        <f>'Firing Inaccuracy(Standing) Raw'!J3+Simple!T4</f>
        <v>109.42237216699434</v>
      </c>
      <c r="K3" s="114">
        <f>'Firing Inaccuracy(Standing) Raw'!K3+Simple!T4</f>
        <v>110.33982746245437</v>
      </c>
      <c r="L3" s="114">
        <f>'Firing Inaccuracy(Standing) Raw'!L3+Simple!T4</f>
        <v>110.66954380012979</v>
      </c>
      <c r="M3" s="114">
        <f>'Firing Inaccuracy(Standing) Raw'!M3+Simple!T4</f>
        <v>110.78803770808153</v>
      </c>
      <c r="N3" s="114">
        <f>'Firing Inaccuracy(Standing) Raw'!N3+Simple!T4</f>
        <v>110.830622210629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5.75" customHeight="1" x14ac:dyDescent="0.15">
      <c r="A4" s="9" t="s">
        <v>145</v>
      </c>
      <c r="B4" s="83">
        <f>'Firing Inaccuracy(Standing) Raw'!B4</f>
        <v>0.12</v>
      </c>
      <c r="C4" s="15">
        <f>'Firing Inaccuracy(Standing) Raw'!C4</f>
        <v>11.16</v>
      </c>
      <c r="D4" s="22">
        <f>'Firing Inaccuracy(Standing) Raw'!D4</f>
        <v>0.52498900000000004</v>
      </c>
      <c r="E4" s="33" t="str">
        <f>'Firing Inaccuracy(Standing) Raw'!E4</f>
        <v>N/A</v>
      </c>
      <c r="F4" s="176">
        <f>'Firing Inaccuracy(Standing) Raw'!F4</f>
        <v>0</v>
      </c>
      <c r="G4" s="21">
        <f>'Firing Inaccuracy(Standing) Raw'!G4+Analysis!C4</f>
        <v>9</v>
      </c>
      <c r="H4" s="114">
        <f>'Firing Inaccuracy(Standing) Raw'!H4+Analysis!C4</f>
        <v>15.593074403293308</v>
      </c>
      <c r="I4" s="114">
        <f>'Firing Inaccuracy(Standing) Raw'!I4+Analysis!C4</f>
        <v>19.960734762611949</v>
      </c>
      <c r="J4" s="114">
        <f>'Firing Inaccuracy(Standing) Raw'!J4+Analysis!C4</f>
        <v>22.068427432385061</v>
      </c>
      <c r="K4" s="114">
        <f>'Firing Inaccuracy(Standing) Raw'!K4+Analysis!C4</f>
        <v>23.786226188095156</v>
      </c>
      <c r="L4" s="114">
        <f>'Firing Inaccuracy(Standing) Raw'!L4+Analysis!C4</f>
        <v>24.328440837167442</v>
      </c>
      <c r="M4" s="114">
        <f>'Firing Inaccuracy(Standing) Raw'!M4+Analysis!C4</f>
        <v>25.121390751730505</v>
      </c>
      <c r="N4" s="114">
        <f>'Firing Inaccuracy(Standing) Raw'!N4+Analysis!C4</f>
        <v>25.117225721458524</v>
      </c>
      <c r="O4" s="114">
        <f>'Firing Inaccuracy(Standing) Raw'!O4+Analysis!C4</f>
        <v>25.587386937243426</v>
      </c>
      <c r="P4" s="114">
        <f>'Firing Inaccuracy(Standing) Raw'!P4+Analysis!C4</f>
        <v>25.392525678693072</v>
      </c>
      <c r="Q4" s="114">
        <f>'Firing Inaccuracy(Standing) Raw'!Q4+Analysis!C4</f>
        <v>25.750027896138665</v>
      </c>
      <c r="R4" s="114">
        <f>'Firing Inaccuracy(Standing) Raw'!R4+Analysis!C4</f>
        <v>25.488610261400893</v>
      </c>
      <c r="S4" s="114">
        <f>'Firing Inaccuracy(Standing) Raw'!S4+Analysis!C4</f>
        <v>25.806792484203363</v>
      </c>
      <c r="T4" s="114">
        <f>'Firing Inaccuracy(Standing) Raw'!T4+Analysis!C4</f>
        <v>25.522145490126956</v>
      </c>
      <c r="U4" s="114">
        <f>'Firing Inaccuracy(Standing) Raw'!U4+Analysis!C4</f>
        <v>25.826604335289598</v>
      </c>
      <c r="V4" s="114">
        <f>'Firing Inaccuracy(Standing) Raw'!V4+Analysis!C4</f>
        <v>25.533849881549763</v>
      </c>
      <c r="W4" s="114">
        <f>'Firing Inaccuracy(Standing) Raw'!W4+Analysis!C4</f>
        <v>25.83351902377489</v>
      </c>
      <c r="X4" s="114">
        <f>'Firing Inaccuracy(Standing) Raw'!X4+Analysis!C4</f>
        <v>25.537934922379431</v>
      </c>
      <c r="Y4" s="114">
        <f>'Firing Inaccuracy(Standing) Raw'!Y4+Analysis!C4</f>
        <v>25.835932373069738</v>
      </c>
      <c r="Z4" s="114">
        <f>'Firing Inaccuracy(Standing) Raw'!Z4+Analysis!C4</f>
        <v>25.539360674302557</v>
      </c>
      <c r="AA4" s="114">
        <f>'Firing Inaccuracy(Standing) Raw'!AA4+Analysis!C4</f>
        <v>25.836774674907534</v>
      </c>
      <c r="AB4" s="114">
        <f>'Firing Inaccuracy(Standing) Raw'!AB4+Analysis!C4</f>
        <v>25.539858287088098</v>
      </c>
      <c r="AC4" s="114">
        <f>'Firing Inaccuracy(Standing) Raw'!AC4+Analysis!C4</f>
        <v>25.837068653233619</v>
      </c>
      <c r="AD4" s="114">
        <f>'Firing Inaccuracy(Standing) Raw'!AD4+Analysis!C4</f>
        <v>25.540031962802868</v>
      </c>
      <c r="AE4" s="114">
        <f>'Firing Inaccuracy(Standing) Raw'!AE4+Analysis!C4</f>
        <v>25.837171256899346</v>
      </c>
      <c r="AF4" s="114">
        <f>'Firing Inaccuracy(Standing) Raw'!AF4+Analysis!C4</f>
        <v>25.54009257871704</v>
      </c>
      <c r="AG4" s="114">
        <f>'Firing Inaccuracy(Standing) Raw'!AG4+Analysis!C4</f>
        <v>25.83720706740402</v>
      </c>
      <c r="AH4" s="114">
        <f>'Firing Inaccuracy(Standing) Raw'!AH4+Analysis!C4</f>
        <v>25.540113734749454</v>
      </c>
      <c r="AI4" s="114">
        <f>'Firing Inaccuracy(Standing) Raw'!AI4+Analysis!C4</f>
        <v>25.837219565907226</v>
      </c>
      <c r="AJ4" s="114">
        <f>'Firing Inaccuracy(Standing) Raw'!AJ4+Analysis!C4</f>
        <v>25.540121118581137</v>
      </c>
    </row>
    <row r="5" spans="1:36" ht="15.75" customHeight="1" x14ac:dyDescent="0.15">
      <c r="A5" s="35" t="s">
        <v>146</v>
      </c>
      <c r="B5" s="83">
        <f>'Firing Inaccuracy(Standing) Raw'!B5</f>
        <v>0.15</v>
      </c>
      <c r="C5" s="15">
        <f>'Firing Inaccuracy(Standing) Raw'!C5</f>
        <v>25</v>
      </c>
      <c r="D5" s="22">
        <f>'Firing Inaccuracy(Standing) Raw'!D5</f>
        <v>0.2</v>
      </c>
      <c r="E5" s="33">
        <f>'Firing Inaccuracy(Standing) Raw'!E5</f>
        <v>0.5</v>
      </c>
      <c r="F5" s="176">
        <f>'Firing Inaccuracy(Standing) Raw'!F5</f>
        <v>0</v>
      </c>
      <c r="G5" s="21">
        <f>'Firing Inaccuracy(Standing) Raw'!G5+Analysis!C5</f>
        <v>11.1</v>
      </c>
      <c r="H5" s="114">
        <f>'Firing Inaccuracy(Standing) Raw'!H5+Analysis!C5</f>
        <v>17.722423219026322</v>
      </c>
      <c r="I5" s="114">
        <f>'Firing Inaccuracy(Standing) Raw'!I5+Analysis!C5</f>
        <v>21.845958196424185</v>
      </c>
      <c r="J5" s="114">
        <f>'Firing Inaccuracy(Standing) Raw'!J5+Analysis!C5</f>
        <v>25.50423177997212</v>
      </c>
      <c r="K5" s="114">
        <f>'Firing Inaccuracy(Standing) Raw'!K5+Analysis!C5</f>
        <v>29.073546271684378</v>
      </c>
      <c r="L5" s="114">
        <f>'Firing Inaccuracy(Standing) Raw'!L5+Analysis!C5</f>
        <v>32.637792775059083</v>
      </c>
      <c r="M5" s="114">
        <f>'Firing Inaccuracy(Standing) Raw'!M5+Analysis!C5</f>
        <v>34.424147620051123</v>
      </c>
      <c r="N5" s="114">
        <f>'Firing Inaccuracy(Standing) Raw'!N5+Analysis!C5</f>
        <v>35.319445863089356</v>
      </c>
      <c r="O5" s="114">
        <f>'Firing Inaccuracy(Standing) Raw'!O5+Analysis!C5</f>
        <v>35.76815791278905</v>
      </c>
      <c r="P5" s="114">
        <f>'Firing Inaccuracy(Standing) Raw'!P5+Analysis!C5</f>
        <v>35.993046663673262</v>
      </c>
      <c r="Q5" s="114">
        <f>'Firing Inaccuracy(Standing) Raw'!Q5+Analysis!C5</f>
        <v>36.105758034602815</v>
      </c>
      <c r="R5" s="114">
        <f>'Firing Inaccuracy(Standing) Raw'!R5+Analysis!C5</f>
        <v>36.162247534797331</v>
      </c>
      <c r="S5" s="114">
        <f>'Firing Inaccuracy(Standing) Raw'!S5+Analysis!C5</f>
        <v>36.190559351128812</v>
      </c>
      <c r="T5" s="114">
        <f>'Firing Inaccuracy(Standing) Raw'!T5+Analysis!C5</f>
        <v>36.204748872034948</v>
      </c>
      <c r="U5" s="114">
        <f>'Firing Inaccuracy(Standing) Raw'!U5+Analysis!C5</f>
        <v>36.211860478764386</v>
      </c>
      <c r="V5" s="114">
        <f>'Firing Inaccuracy(Standing) Raw'!V5+Analysis!C5</f>
        <v>36.215424725267759</v>
      </c>
      <c r="W5" s="114">
        <f>'Firing Inaccuracy(Standing) Raw'!W5+Analysis!C5</f>
        <v>36.217211080112754</v>
      </c>
      <c r="X5" s="114">
        <f>'Firing Inaccuracy(Standing) Raw'!X5+Analysis!C5</f>
        <v>36.218106378355792</v>
      </c>
      <c r="Y5" s="114">
        <f>'Firing Inaccuracy(Standing) Raw'!Y5+Analysis!C5</f>
        <v>36.218555090405495</v>
      </c>
      <c r="Z5" s="114">
        <f>'Firing Inaccuracy(Standing) Raw'!Z5+Analysis!C5</f>
        <v>36.21877997915638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spans="1:36" ht="15.75" customHeight="1" x14ac:dyDescent="0.15">
      <c r="A6" s="36" t="s">
        <v>147</v>
      </c>
      <c r="B6" s="83">
        <f>'Firing Inaccuracy(Standing) Raw'!B6</f>
        <v>0.15</v>
      </c>
      <c r="C6" s="15">
        <f>'Firing Inaccuracy(Standing) Raw'!C6</f>
        <v>56</v>
      </c>
      <c r="D6" s="22">
        <f>'Firing Inaccuracy(Standing) Raw'!D6</f>
        <v>0.2</v>
      </c>
      <c r="E6" s="33">
        <f>'Firing Inaccuracy(Standing) Raw'!E6</f>
        <v>0.33</v>
      </c>
      <c r="F6" s="176">
        <f>'Firing Inaccuracy(Standing) Raw'!F6</f>
        <v>0</v>
      </c>
      <c r="G6" s="21">
        <f>'Firing Inaccuracy(Standing) Raw'!G6+Analysis!C6</f>
        <v>7.6</v>
      </c>
      <c r="H6" s="114">
        <f>'Firing Inaccuracy(Standing) Raw'!H6+Analysis!C6</f>
        <v>19.747061011671548</v>
      </c>
      <c r="I6" s="114">
        <f>'Firing Inaccuracy(Standing) Raw'!I6+Analysis!C6</f>
        <v>24.906491581547272</v>
      </c>
      <c r="J6" s="114">
        <f>'Firing Inaccuracy(Standing) Raw'!J6+Analysis!C6</f>
        <v>28.762846871878061</v>
      </c>
      <c r="K6" s="114">
        <f>'Firing Inaccuracy(Standing) Raw'!K6+Analysis!C6</f>
        <v>32.373489823411703</v>
      </c>
      <c r="L6" s="114">
        <f>'Firing Inaccuracy(Standing) Raw'!L6+Analysis!C6</f>
        <v>35.961120981167319</v>
      </c>
      <c r="M6" s="114">
        <f>'Firing Inaccuracy(Standing) Raw'!M6+Analysis!C6</f>
        <v>37.220807067819742</v>
      </c>
      <c r="N6" s="114">
        <f>'Firing Inaccuracy(Standing) Raw'!N6+Analysis!C6</f>
        <v>37.663107005335718</v>
      </c>
      <c r="O6" s="114">
        <f>'Firing Inaccuracy(Standing) Raw'!O6+Analysis!C6</f>
        <v>37.818406993800721</v>
      </c>
      <c r="P6" s="114">
        <f>'Firing Inaccuracy(Standing) Raw'!P6+Analysis!C6</f>
        <v>37.872935797382922</v>
      </c>
      <c r="Q6" s="114">
        <f>'Firing Inaccuracy(Standing) Raw'!Q6+Analysis!C6</f>
        <v>37.892081905824369</v>
      </c>
      <c r="R6" s="114">
        <f>'Firing Inaccuracy(Standing) Raw'!R6+Analysis!C6</f>
        <v>37.898804471594566</v>
      </c>
      <c r="S6" s="114">
        <f>'Firing Inaccuracy(Standing) Raw'!S6+Analysis!C6</f>
        <v>37.901164893331064</v>
      </c>
      <c r="T6" s="114">
        <f>'Firing Inaccuracy(Standing) Raw'!T6+Analysis!C6</f>
        <v>37.901993682660112</v>
      </c>
      <c r="U6" s="114">
        <f>'Firing Inaccuracy(Standing) Raw'!U6+Analysis!C6</f>
        <v>37.902284686484272</v>
      </c>
      <c r="V6" s="114">
        <f>'Firing Inaccuracy(Standing) Raw'!V6+Analysis!C6</f>
        <v>37.902386863506472</v>
      </c>
      <c r="W6" s="114">
        <f>'Firing Inaccuracy(Standing) Raw'!W6+Analysis!C6</f>
        <v>37.90242273981805</v>
      </c>
      <c r="X6" s="114">
        <f>'Firing Inaccuracy(Standing) Raw'!X6+Analysis!C6</f>
        <v>37.902435336678913</v>
      </c>
      <c r="Y6" s="114">
        <f>'Firing Inaccuracy(Standing) Raw'!Y6+Analysis!C6</f>
        <v>37.902439759678288</v>
      </c>
      <c r="Z6" s="114">
        <f>'Firing Inaccuracy(Standing) Raw'!Z6+Analysis!C6</f>
        <v>37.902441312678178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spans="1:36" ht="15.75" customHeight="1" x14ac:dyDescent="0.15">
      <c r="A7" s="35" t="s">
        <v>148</v>
      </c>
      <c r="B7" s="83">
        <f>'Firing Inaccuracy(Standing) Raw'!B7</f>
        <v>0.17</v>
      </c>
      <c r="C7" s="15">
        <f>'Firing Inaccuracy(Standing) Raw'!C7</f>
        <v>50</v>
      </c>
      <c r="D7" s="22">
        <f>'Firing Inaccuracy(Standing) Raw'!D7</f>
        <v>0.34953200000000001</v>
      </c>
      <c r="E7" s="33" t="str">
        <f>'Firing Inaccuracy(Standing) Raw'!E7</f>
        <v>N/A</v>
      </c>
      <c r="F7" s="176">
        <f>'Firing Inaccuracy(Standing) Raw'!F7</f>
        <v>0</v>
      </c>
      <c r="G7" s="21">
        <f>'Firing Inaccuracy(Standing) Raw'!G7+Analysis!C7</f>
        <v>6.9</v>
      </c>
      <c r="H7" s="114">
        <f>'Firing Inaccuracy(Standing) Raw'!H7+Analysis!C7</f>
        <v>23.215687541528013</v>
      </c>
      <c r="I7" s="114">
        <f>'Firing Inaccuracy(Standing) Raw'!I7+Analysis!C7</f>
        <v>28.539720740583455</v>
      </c>
      <c r="J7" s="114">
        <f>'Firing Inaccuracy(Standing) Raw'!J7+Analysis!C7</f>
        <v>30.277025983313663</v>
      </c>
      <c r="K7" s="114">
        <f>'Firing Inaccuracy(Standing) Raw'!K7+Analysis!C7</f>
        <v>30.843932573406562</v>
      </c>
      <c r="L7" s="114">
        <f>'Firing Inaccuracy(Standing) Raw'!L7+Analysis!C7</f>
        <v>31.02892198919033</v>
      </c>
      <c r="M7" s="114">
        <f>'Firing Inaccuracy(Standing) Raw'!M7+Analysis!C7</f>
        <v>31.089286579318689</v>
      </c>
      <c r="N7" s="114">
        <f>'Firing Inaccuracy(Standing) Raw'!N7+Analysis!C7</f>
        <v>31.108984375140821</v>
      </c>
      <c r="O7" s="114">
        <f>'Firing Inaccuracy(Standing) Raw'!O7+Analysis!C7</f>
        <v>31.115412036778636</v>
      </c>
      <c r="P7" s="114">
        <f>'Firing Inaccuracy(Standing) Raw'!P7+Analysis!C7</f>
        <v>31.117509471156744</v>
      </c>
      <c r="Q7" s="114">
        <f>'Firing Inaccuracy(Standing) Raw'!Q7+Analysis!C7</f>
        <v>31.118193892835784</v>
      </c>
      <c r="R7" s="114">
        <f>'Firing Inaccuracy(Standing) Raw'!R7+Analysis!C7</f>
        <v>31.118417229041022</v>
      </c>
      <c r="S7" s="114">
        <f>'Firing Inaccuracy(Standing) Raw'!S7+Analysis!C7</f>
        <v>31.118490106715846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spans="1:36" ht="15.75" customHeight="1" x14ac:dyDescent="0.15">
      <c r="A8" s="35" t="s">
        <v>149</v>
      </c>
      <c r="B8" s="83">
        <f>'Firing Inaccuracy(Standing) Raw'!B8</f>
        <v>0.17</v>
      </c>
      <c r="C8" s="15">
        <f>'Firing Inaccuracy(Standing) Raw'!C8</f>
        <v>52</v>
      </c>
      <c r="D8" s="22">
        <f>'Firing Inaccuracy(Standing) Raw'!D8</f>
        <v>0.34953200000000001</v>
      </c>
      <c r="E8" s="33" t="str">
        <f>'Firing Inaccuracy(Standing) Raw'!E8</f>
        <v>N/A</v>
      </c>
      <c r="F8" s="176">
        <f>'Firing Inaccuracy(Standing) Raw'!F8</f>
        <v>0</v>
      </c>
      <c r="G8" s="21">
        <f>'Firing Inaccuracy(Standing) Raw'!G8+Analysis!C8</f>
        <v>6.4</v>
      </c>
      <c r="H8" s="114">
        <f>'Firing Inaccuracy(Standing) Raw'!H8+Analysis!C8</f>
        <v>23.368315043189128</v>
      </c>
      <c r="I8" s="114">
        <f>'Firing Inaccuracy(Standing) Raw'!I8+Analysis!C8</f>
        <v>28.905309570206796</v>
      </c>
      <c r="J8" s="114">
        <f>'Firing Inaccuracy(Standing) Raw'!J8+Analysis!C8</f>
        <v>30.712107022646208</v>
      </c>
      <c r="K8" s="114">
        <f>'Firing Inaccuracy(Standing) Raw'!K8+Analysis!C8</f>
        <v>31.30168987634282</v>
      </c>
      <c r="L8" s="114">
        <f>'Firing Inaccuracy(Standing) Raw'!L8+Analysis!C8</f>
        <v>31.494078868757946</v>
      </c>
      <c r="M8" s="114">
        <f>'Firing Inaccuracy(Standing) Raw'!M8+Analysis!C8</f>
        <v>31.556858042491434</v>
      </c>
      <c r="N8" s="114">
        <f>'Firing Inaccuracy(Standing) Raw'!N8+Analysis!C8</f>
        <v>31.577343750146454</v>
      </c>
      <c r="O8" s="114">
        <f>'Firing Inaccuracy(Standing) Raw'!O8+Analysis!C8</f>
        <v>31.584028518249788</v>
      </c>
      <c r="P8" s="114">
        <f>'Firing Inaccuracy(Standing) Raw'!P8+Analysis!C8</f>
        <v>31.586209850003016</v>
      </c>
      <c r="Q8" s="114">
        <f>'Firing Inaccuracy(Standing) Raw'!Q8+Analysis!C8</f>
        <v>31.586921648549215</v>
      </c>
      <c r="R8" s="114">
        <f>'Firing Inaccuracy(Standing) Raw'!R8+Analysis!C8</f>
        <v>31.587153918202659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spans="1:36" ht="15.75" customHeight="1" x14ac:dyDescent="0.15">
      <c r="A9" s="9" t="s">
        <v>150</v>
      </c>
      <c r="B9" s="83">
        <f>'Firing Inaccuracy(Standing) Raw'!B9</f>
        <v>0.15</v>
      </c>
      <c r="C9" s="15">
        <f>'Firing Inaccuracy(Standing) Raw'!C9</f>
        <v>52.45</v>
      </c>
      <c r="D9" s="22">
        <f>'Firing Inaccuracy(Standing) Raw'!D9</f>
        <v>0.34538799999999997</v>
      </c>
      <c r="E9" s="33" t="str">
        <f>'Firing Inaccuracy(Standing) Raw'!E9</f>
        <v>N/A</v>
      </c>
      <c r="F9" s="176">
        <f>'Firing Inaccuracy(Standing) Raw'!F9</f>
        <v>0</v>
      </c>
      <c r="G9" s="21">
        <f>'Firing Inaccuracy(Standing) Raw'!G9+Analysis!C9</f>
        <v>11.1</v>
      </c>
      <c r="H9" s="114">
        <f>'Firing Inaccuracy(Standing) Raw'!H9+Analysis!C9</f>
        <v>30.395289876550137</v>
      </c>
      <c r="I9" s="114">
        <f>'Firing Inaccuracy(Standing) Raw'!I9+Analysis!C9</f>
        <v>37.493635184845623</v>
      </c>
      <c r="J9" s="114">
        <f>'Firing Inaccuracy(Standing) Raw'!J9+Analysis!C9</f>
        <v>40.104972274786725</v>
      </c>
      <c r="K9" s="114">
        <f>'Firing Inaccuracy(Standing) Raw'!K9+Analysis!C9</f>
        <v>41.06563016069331</v>
      </c>
      <c r="L9" s="114">
        <f>'Firing Inaccuracy(Standing) Raw'!L9+Analysis!C9</f>
        <v>41.419036688448536</v>
      </c>
      <c r="M9" s="114">
        <f>'Firing Inaccuracy(Standing) Raw'!M9+Analysis!C9</f>
        <v>41.549047773239806</v>
      </c>
      <c r="N9" s="114">
        <f>'Firing Inaccuracy(Standing) Raw'!N9+Analysis!C9</f>
        <v>41.596876211146615</v>
      </c>
      <c r="O9" s="114">
        <f>'Firing Inaccuracy(Standing) Raw'!O9+Analysis!C9</f>
        <v>41.614471322181018</v>
      </c>
      <c r="P9" s="114">
        <f>'Firing Inaccuracy(Standing) Raw'!P9+Analysis!C9</f>
        <v>41.620944206219512</v>
      </c>
      <c r="Q9" s="114">
        <f>'Firing Inaccuracy(Standing) Raw'!Q9+Analysis!C9</f>
        <v>41.623325448809787</v>
      </c>
      <c r="R9" s="114">
        <f>'Firing Inaccuracy(Standing) Raw'!R9+Analysis!C9</f>
        <v>41.624201459601892</v>
      </c>
      <c r="S9" s="114">
        <f>'Firing Inaccuracy(Standing) Raw'!S9+Analysis!C9</f>
        <v>41.624523726182794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spans="1:36" ht="15.75" customHeight="1" x14ac:dyDescent="0.15">
      <c r="A10" s="9" t="s">
        <v>151</v>
      </c>
      <c r="B10" s="83">
        <f>'Firing Inaccuracy(Standing) Raw'!B10</f>
        <v>0.1</v>
      </c>
      <c r="C10" s="15">
        <f>'Firing Inaccuracy(Standing) Raw'!C10</f>
        <v>35</v>
      </c>
      <c r="D10" s="22">
        <f>'Firing Inaccuracy(Standing) Raw'!D10</f>
        <v>0.24249999999999999</v>
      </c>
      <c r="E10" s="33">
        <f>'Firing Inaccuracy(Standing) Raw'!E10</f>
        <v>0.34538799999999997</v>
      </c>
      <c r="F10" s="176">
        <f>'Firing Inaccuracy(Standing) Raw'!F10</f>
        <v>0</v>
      </c>
      <c r="G10" s="21">
        <f>'Firing Inaccuracy(Standing) Raw'!G10+Analysis!C10</f>
        <v>13.43</v>
      </c>
      <c r="H10" s="114">
        <f>'Firing Inaccuracy(Standing) Raw'!H10+Analysis!C10</f>
        <v>26.972439694874886</v>
      </c>
      <c r="I10" s="114">
        <f>'Firing Inaccuracy(Standing) Raw'!I10+Analysis!C10</f>
        <v>32.212373205998396</v>
      </c>
      <c r="J10" s="114">
        <f>'Firing Inaccuracy(Standing) Raw'!J10+Analysis!C10</f>
        <v>34.239844165413942</v>
      </c>
      <c r="K10" s="114">
        <f>'Firing Inaccuracy(Standing) Raw'!K10+Analysis!C10</f>
        <v>36.228471443209969</v>
      </c>
      <c r="L10" s="114">
        <f>'Firing Inaccuracy(Standing) Raw'!L10+Analysis!C10</f>
        <v>38.211605692788936</v>
      </c>
      <c r="M10" s="114">
        <f>'Firing Inaccuracy(Standing) Raw'!M10+Analysis!C10</f>
        <v>40.199666540000514</v>
      </c>
      <c r="N10" s="114">
        <f>'Firing Inaccuracy(Standing) Raw'!N10+Analysis!C10</f>
        <v>42.19554336867418</v>
      </c>
      <c r="O10" s="114">
        <f>'Firing Inaccuracy(Standing) Raw'!O10+Analysis!C10</f>
        <v>44.199595328651981</v>
      </c>
      <c r="P10" s="114">
        <f>'Firing Inaccuracy(Standing) Raw'!P10+Analysis!C10</f>
        <v>46.211354338384247</v>
      </c>
      <c r="Q10" s="114">
        <f>'Firing Inaccuracy(Standing) Raw'!Q10+Analysis!C10</f>
        <v>48.23012352432854</v>
      </c>
      <c r="R10" s="114">
        <f>'Firing Inaccuracy(Standing) Raw'!R10+Analysis!C10</f>
        <v>49.266594656009445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6" ht="15.75" customHeight="1" x14ac:dyDescent="0.15">
      <c r="A11" s="36" t="s">
        <v>152</v>
      </c>
      <c r="B11" s="83">
        <f>'Firing Inaccuracy(Standing) Raw'!B11</f>
        <v>0.12</v>
      </c>
      <c r="C11" s="15">
        <f>'Firing Inaccuracy(Standing) Raw'!C11</f>
        <v>45</v>
      </c>
      <c r="D11" s="22">
        <f>'Firing Inaccuracy(Standing) Raw'!D11</f>
        <v>0.39100000000000001</v>
      </c>
      <c r="E11" s="33">
        <f>'Firing Inaccuracy(Standing) Raw'!E11</f>
        <v>0.39100000000000001</v>
      </c>
      <c r="F11" s="176">
        <f>'Firing Inaccuracy(Standing) Raw'!F11</f>
        <v>0</v>
      </c>
      <c r="G11" s="21">
        <f>'Firing Inaccuracy(Standing) Raw'!G11+Analysis!C11</f>
        <v>6.9</v>
      </c>
      <c r="H11" s="114">
        <f>'Firing Inaccuracy(Standing) Raw'!H11+Analysis!C11</f>
        <v>29.097657336011288</v>
      </c>
      <c r="I11" s="114">
        <f>'Firing Inaccuracy(Standing) Raw'!I11+Analysis!C11</f>
        <v>40.047346029499643</v>
      </c>
      <c r="J11" s="114">
        <f>'Firing Inaccuracy(Standing) Raw'!J11+Analysis!C11</f>
        <v>45.448622419589682</v>
      </c>
      <c r="K11" s="114">
        <f>'Firing Inaccuracy(Standing) Raw'!K11+Analysis!C11</f>
        <v>48.112970919240944</v>
      </c>
      <c r="L11" s="114">
        <f>'Firing Inaccuracy(Standing) Raw'!L11+Analysis!C11</f>
        <v>49.42724414188482</v>
      </c>
      <c r="M11" s="114">
        <f>'Firing Inaccuracy(Standing) Raw'!M11+Analysis!C11</f>
        <v>50.07555051171024</v>
      </c>
      <c r="N11" s="114">
        <f>'Firing Inaccuracy(Standing) Raw'!N11+Analysis!C11</f>
        <v>50.395347903846641</v>
      </c>
      <c r="O11" s="114">
        <f>'Firing Inaccuracy(Standing) Raw'!O11+Analysis!C11</f>
        <v>50.553097968904282</v>
      </c>
      <c r="P11" s="114">
        <f>'Firing Inaccuracy(Standing) Raw'!P11+Analysis!C11</f>
        <v>50.630913121990574</v>
      </c>
      <c r="Q11" s="114">
        <f>'Firing Inaccuracy(Standing) Raw'!Q11+Analysis!C11</f>
        <v>50.669297879851875</v>
      </c>
      <c r="R11" s="114">
        <f>'Firing Inaccuracy(Standing) Raw'!R11+Analysis!C11</f>
        <v>50.688232362117013</v>
      </c>
      <c r="S11" s="114">
        <f>'Firing Inaccuracy(Standing) Raw'!S11+Analysis!C11</f>
        <v>50.697572387653821</v>
      </c>
      <c r="T11" s="114">
        <f>'Firing Inaccuracy(Standing) Raw'!T11+Analysis!C11</f>
        <v>50.702179647351052</v>
      </c>
      <c r="U11" s="114">
        <f>'Firing Inaccuracy(Standing) Raw'!U11+Analysis!C11</f>
        <v>50.704452322284766</v>
      </c>
      <c r="V11" s="114">
        <f>'Firing Inaccuracy(Standing) Raw'!V11+Analysis!C11</f>
        <v>50.705573390271759</v>
      </c>
      <c r="W11" s="114">
        <f>'Firing Inaccuracy(Standing) Raw'!W11+Analysis!C11</f>
        <v>50.706126392116779</v>
      </c>
      <c r="X11" s="114">
        <f>'Firing Inaccuracy(Standing) Raw'!X11+Analysis!C11</f>
        <v>50.706399177571484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6" ht="15.75" customHeight="1" x14ac:dyDescent="0.15">
      <c r="A12" s="39"/>
      <c r="B12" s="101">
        <f>'Firing Inaccuracy(Standing) Raw'!B12</f>
        <v>0</v>
      </c>
      <c r="C12" s="177">
        <f>'Firing Inaccuracy(Standing) Raw'!C12</f>
        <v>0</v>
      </c>
      <c r="D12" s="178">
        <f>'Firing Inaccuracy(Standing) Raw'!D12</f>
        <v>0</v>
      </c>
      <c r="E12" s="178">
        <f>'Firing Inaccuracy(Standing) Raw'!E12</f>
        <v>0</v>
      </c>
      <c r="F12" s="179">
        <f>'Firing Inaccuracy(Standing) Raw'!F12</f>
        <v>0</v>
      </c>
      <c r="G12" s="41">
        <f>'Firing Inaccuracy(Standing) Raw'!G12</f>
        <v>0</v>
      </c>
      <c r="H12" s="41">
        <f>'Firing Inaccuracy(Standing) Raw'!H12</f>
        <v>0</v>
      </c>
      <c r="I12" s="41">
        <f>'Firing Inaccuracy(Standing) Raw'!I12</f>
        <v>0</v>
      </c>
      <c r="J12" s="41">
        <f>'Firing Inaccuracy(Standing) Raw'!J12</f>
        <v>0</v>
      </c>
      <c r="K12" s="41">
        <f>'Firing Inaccuracy(Standing) Raw'!K12</f>
        <v>0</v>
      </c>
      <c r="L12" s="41">
        <f>'Firing Inaccuracy(Standing) Raw'!L12</f>
        <v>0</v>
      </c>
      <c r="M12" s="41">
        <f>'Firing Inaccuracy(Standing) Raw'!M12</f>
        <v>0</v>
      </c>
      <c r="N12" s="41">
        <f>'Firing Inaccuracy(Standing) Raw'!N12</f>
        <v>0</v>
      </c>
      <c r="O12" s="180">
        <f>'Firing Inaccuracy(Standing) Raw'!O12</f>
        <v>0</v>
      </c>
      <c r="P12" s="180">
        <f>'Firing Inaccuracy(Standing) Raw'!P12</f>
        <v>0</v>
      </c>
      <c r="Q12" s="180">
        <f>'Firing Inaccuracy(Standing) Raw'!Q12</f>
        <v>0</v>
      </c>
      <c r="R12" s="180">
        <f>'Firing Inaccuracy(Standing) Raw'!R12</f>
        <v>0</v>
      </c>
      <c r="S12" s="180">
        <f>'Firing Inaccuracy(Standing) Raw'!S12</f>
        <v>0</v>
      </c>
      <c r="T12" s="180">
        <f>'Firing Inaccuracy(Standing) Raw'!T12</f>
        <v>0</v>
      </c>
      <c r="U12" s="180">
        <f>'Firing Inaccuracy(Standing) Raw'!U12</f>
        <v>0</v>
      </c>
      <c r="V12" s="180">
        <f>'Firing Inaccuracy(Standing) Raw'!V12</f>
        <v>0</v>
      </c>
      <c r="W12" s="180">
        <f>'Firing Inaccuracy(Standing) Raw'!W12</f>
        <v>0</v>
      </c>
      <c r="X12" s="180">
        <f>'Firing Inaccuracy(Standing) Raw'!X12</f>
        <v>0</v>
      </c>
      <c r="Y12" s="180">
        <f>'Firing Inaccuracy(Standing) Raw'!Y12</f>
        <v>0</v>
      </c>
      <c r="Z12" s="180">
        <f>'Firing Inaccuracy(Standing) Raw'!Z12</f>
        <v>0</v>
      </c>
      <c r="AA12" s="180">
        <f>'Firing Inaccuracy(Standing) Raw'!AA12</f>
        <v>0</v>
      </c>
      <c r="AB12" s="180">
        <f>'Firing Inaccuracy(Standing) Raw'!AB12</f>
        <v>0</v>
      </c>
      <c r="AC12" s="180">
        <f>'Firing Inaccuracy(Standing) Raw'!AC12</f>
        <v>0</v>
      </c>
      <c r="AD12" s="180">
        <f>'Firing Inaccuracy(Standing) Raw'!AD12</f>
        <v>0</v>
      </c>
      <c r="AE12" s="180">
        <f>'Firing Inaccuracy(Standing) Raw'!AE12</f>
        <v>0</v>
      </c>
      <c r="AF12" s="180">
        <f>'Firing Inaccuracy(Standing) Raw'!AF12</f>
        <v>0</v>
      </c>
      <c r="AG12" s="180">
        <f>'Firing Inaccuracy(Standing) Raw'!AG12</f>
        <v>0</v>
      </c>
      <c r="AH12" s="180">
        <f>'Firing Inaccuracy(Standing) Raw'!AH12</f>
        <v>0</v>
      </c>
      <c r="AI12" s="180">
        <f>'Firing Inaccuracy(Standing) Raw'!AI12</f>
        <v>0</v>
      </c>
      <c r="AJ12" s="180">
        <f>'Firing Inaccuracy(Standing) Raw'!AJ12</f>
        <v>0</v>
      </c>
    </row>
    <row r="13" spans="1:36" ht="15.75" customHeight="1" x14ac:dyDescent="0.15">
      <c r="A13" s="1" t="s">
        <v>53</v>
      </c>
      <c r="B13" s="69" t="str">
        <f>'Firing Inaccuracy(Standing) Raw'!B13</f>
        <v>CycleTime</v>
      </c>
      <c r="C13" s="4" t="str">
        <f>'Firing Inaccuracy(Standing) Raw'!C13</f>
        <v>Inaccuracy
Fire</v>
      </c>
      <c r="D13" s="7" t="str">
        <f>'Firing Inaccuracy(Standing) Raw'!D13</f>
        <v>Recovery
TimeStand</v>
      </c>
      <c r="E13" s="7" t="str">
        <f>'Firing Inaccuracy(Standing) Raw'!E13</f>
        <v>RecoveryTime
StandFinal</v>
      </c>
      <c r="F13" s="174">
        <f>'Firing Inaccuracy(Standing) Raw'!F13</f>
        <v>0</v>
      </c>
      <c r="G13" s="175">
        <f>'Firing Inaccuracy(Standing) Raw'!G13</f>
        <v>1</v>
      </c>
      <c r="H13" s="175">
        <f>'Firing Inaccuracy(Standing) Raw'!H13</f>
        <v>2</v>
      </c>
      <c r="I13" s="175">
        <f>'Firing Inaccuracy(Standing) Raw'!I13</f>
        <v>3</v>
      </c>
      <c r="J13" s="175">
        <f>'Firing Inaccuracy(Standing) Raw'!J13</f>
        <v>4</v>
      </c>
      <c r="K13" s="175">
        <f>'Firing Inaccuracy(Standing) Raw'!K13</f>
        <v>5</v>
      </c>
      <c r="L13" s="175">
        <f>'Firing Inaccuracy(Standing) Raw'!L13</f>
        <v>6</v>
      </c>
      <c r="M13" s="175">
        <f>'Firing Inaccuracy(Standing) Raw'!M13</f>
        <v>7</v>
      </c>
      <c r="N13" s="175">
        <f>'Firing Inaccuracy(Standing) Raw'!N13</f>
        <v>8</v>
      </c>
      <c r="O13" s="181">
        <f>'Firing Inaccuracy(Standing) Raw'!O13</f>
        <v>0</v>
      </c>
      <c r="P13" s="182">
        <f>'Firing Inaccuracy(Standing) Raw'!P13</f>
        <v>0</v>
      </c>
      <c r="Q13" s="182">
        <f>'Firing Inaccuracy(Standing) Raw'!Q13</f>
        <v>0</v>
      </c>
      <c r="R13" s="183">
        <f>'Firing Inaccuracy(Standing) Raw'!R13</f>
        <v>0</v>
      </c>
      <c r="S13" s="183">
        <f>'Firing Inaccuracy(Standing) Raw'!S13</f>
        <v>0</v>
      </c>
      <c r="T13" s="183">
        <f>'Firing Inaccuracy(Standing) Raw'!T13</f>
        <v>0</v>
      </c>
      <c r="U13" s="183">
        <f>'Firing Inaccuracy(Standing) Raw'!U13</f>
        <v>0</v>
      </c>
      <c r="V13" s="183">
        <f>'Firing Inaccuracy(Standing) Raw'!V13</f>
        <v>0</v>
      </c>
      <c r="W13" s="183">
        <f>'Firing Inaccuracy(Standing) Raw'!W13</f>
        <v>0</v>
      </c>
      <c r="X13" s="183">
        <f>'Firing Inaccuracy(Standing) Raw'!X13</f>
        <v>0</v>
      </c>
      <c r="Y13" s="183">
        <f>'Firing Inaccuracy(Standing) Raw'!Y13</f>
        <v>0</v>
      </c>
      <c r="Z13" s="183">
        <f>'Firing Inaccuracy(Standing) Raw'!Z13</f>
        <v>0</v>
      </c>
      <c r="AA13" s="183">
        <f>'Firing Inaccuracy(Standing) Raw'!AA13</f>
        <v>0</v>
      </c>
      <c r="AB13" s="183">
        <f>'Firing Inaccuracy(Standing) Raw'!AB13</f>
        <v>0</v>
      </c>
      <c r="AC13" s="183">
        <f>'Firing Inaccuracy(Standing) Raw'!AC13</f>
        <v>0</v>
      </c>
      <c r="AD13" s="183">
        <f>'Firing Inaccuracy(Standing) Raw'!AD13</f>
        <v>0</v>
      </c>
      <c r="AE13" s="183">
        <f>'Firing Inaccuracy(Standing) Raw'!AE13</f>
        <v>0</v>
      </c>
      <c r="AF13" s="183">
        <f>'Firing Inaccuracy(Standing) Raw'!AF13</f>
        <v>0</v>
      </c>
      <c r="AG13" s="183">
        <f>'Firing Inaccuracy(Standing) Raw'!AG13</f>
        <v>0</v>
      </c>
      <c r="AH13" s="183">
        <f>'Firing Inaccuracy(Standing) Raw'!AH13</f>
        <v>0</v>
      </c>
      <c r="AI13" s="183">
        <f>'Firing Inaccuracy(Standing) Raw'!AI13</f>
        <v>0</v>
      </c>
      <c r="AJ13" s="183">
        <f>'Firing Inaccuracy(Standing) Raw'!AJ13</f>
        <v>0</v>
      </c>
    </row>
    <row r="14" spans="1:36" ht="15.75" customHeight="1" x14ac:dyDescent="0.15">
      <c r="A14" s="35" t="s">
        <v>153</v>
      </c>
      <c r="B14" s="83">
        <f>'Firing Inaccuracy(Standing) Raw'!B14</f>
        <v>0.85</v>
      </c>
      <c r="C14" s="15">
        <f>'Firing Inaccuracy(Standing) Raw'!C14</f>
        <v>11.19</v>
      </c>
      <c r="D14" s="22">
        <f>'Firing Inaccuracy(Standing) Raw'!D14</f>
        <v>0.399729</v>
      </c>
      <c r="E14" s="33" t="str">
        <f>'Firing Inaccuracy(Standing) Raw'!E14</f>
        <v>N/A</v>
      </c>
      <c r="F14" s="176">
        <f>'Firing Inaccuracy(Standing) Raw'!F14</f>
        <v>0</v>
      </c>
      <c r="G14" s="21">
        <f>'Firing Inaccuracy(Standing) Raw'!G14+Analysis!C14</f>
        <v>47</v>
      </c>
      <c r="H14" s="114">
        <f>'Firing Inaccuracy(Standing) Raw'!H14+Analysis!C14</f>
        <v>47.083635262239326</v>
      </c>
      <c r="I14" s="114">
        <f>'Firing Inaccuracy(Standing) Raw'!I14+Analysis!C14</f>
        <v>47.084260361174969</v>
      </c>
      <c r="J14" s="114">
        <f>'Firing Inaccuracy(Standing) Raw'!J14+Analysis!C14</f>
        <v>47.084265033231574</v>
      </c>
      <c r="K14" s="114">
        <f>'Firing Inaccuracy(Standing) Raw'!K14+Analysis!C14</f>
        <v>47.084265068151026</v>
      </c>
      <c r="L14" s="114"/>
      <c r="M14" s="114"/>
      <c r="N14" s="114"/>
      <c r="O14" s="184">
        <f>'Firing Inaccuracy(Standing) Raw'!O14</f>
        <v>0</v>
      </c>
      <c r="P14" s="185">
        <f>'Firing Inaccuracy(Standing) Raw'!P14</f>
        <v>0</v>
      </c>
      <c r="Q14" s="177">
        <f>'Firing Inaccuracy(Standing) Raw'!Q14</f>
        <v>0</v>
      </c>
      <c r="R14" s="186">
        <f>'Firing Inaccuracy(Standing) Raw'!R14</f>
        <v>0</v>
      </c>
      <c r="S14" s="177">
        <f>'Firing Inaccuracy(Standing) Raw'!S14</f>
        <v>0</v>
      </c>
      <c r="T14" s="177">
        <f>'Firing Inaccuracy(Standing) Raw'!T14</f>
        <v>0</v>
      </c>
      <c r="U14" s="177">
        <f>'Firing Inaccuracy(Standing) Raw'!U14</f>
        <v>0</v>
      </c>
      <c r="V14" s="177">
        <f>'Firing Inaccuracy(Standing) Raw'!V14</f>
        <v>0</v>
      </c>
      <c r="W14" s="177">
        <f>'Firing Inaccuracy(Standing) Raw'!W14</f>
        <v>0</v>
      </c>
      <c r="X14" s="177">
        <f>'Firing Inaccuracy(Standing) Raw'!X14</f>
        <v>0</v>
      </c>
      <c r="Y14" s="177">
        <f>'Firing Inaccuracy(Standing) Raw'!Y14</f>
        <v>0</v>
      </c>
      <c r="Z14" s="177">
        <f>'Firing Inaccuracy(Standing) Raw'!Z14</f>
        <v>0</v>
      </c>
      <c r="AA14" s="177">
        <f>'Firing Inaccuracy(Standing) Raw'!AA14</f>
        <v>0</v>
      </c>
      <c r="AB14" s="177">
        <f>'Firing Inaccuracy(Standing) Raw'!AB14</f>
        <v>0</v>
      </c>
      <c r="AC14" s="177">
        <f>'Firing Inaccuracy(Standing) Raw'!AC14</f>
        <v>0</v>
      </c>
      <c r="AD14" s="177">
        <f>'Firing Inaccuracy(Standing) Raw'!AD14</f>
        <v>0</v>
      </c>
      <c r="AE14" s="177">
        <f>'Firing Inaccuracy(Standing) Raw'!AE14</f>
        <v>0</v>
      </c>
      <c r="AF14" s="177">
        <f>'Firing Inaccuracy(Standing) Raw'!AF14</f>
        <v>0</v>
      </c>
      <c r="AG14" s="177">
        <f>'Firing Inaccuracy(Standing) Raw'!AG14</f>
        <v>0</v>
      </c>
      <c r="AH14" s="177">
        <f>'Firing Inaccuracy(Standing) Raw'!AH14</f>
        <v>0</v>
      </c>
      <c r="AI14" s="177">
        <f>'Firing Inaccuracy(Standing) Raw'!AI14</f>
        <v>0</v>
      </c>
      <c r="AJ14" s="177">
        <f>'Firing Inaccuracy(Standing) Raw'!AJ14</f>
        <v>0</v>
      </c>
    </row>
    <row r="15" spans="1:36" ht="15.75" customHeight="1" x14ac:dyDescent="0.15">
      <c r="A15" s="9" t="s">
        <v>155</v>
      </c>
      <c r="B15" s="83">
        <f>'Firing Inaccuracy(Standing) Raw'!B15</f>
        <v>0.88</v>
      </c>
      <c r="C15" s="15">
        <f>'Firing Inaccuracy(Standing) Raw'!C15</f>
        <v>9.7200000000000006</v>
      </c>
      <c r="D15" s="22">
        <f>'Firing Inaccuracy(Standing) Raw'!D15</f>
        <v>0.46051700000000001</v>
      </c>
      <c r="E15" s="33" t="str">
        <f>'Firing Inaccuracy(Standing) Raw'!E15</f>
        <v>N/A</v>
      </c>
      <c r="F15" s="176">
        <f>'Firing Inaccuracy(Standing) Raw'!F15</f>
        <v>0</v>
      </c>
      <c r="G15" s="21">
        <f>'Firing Inaccuracy(Standing) Raw'!G15+Analysis!C15</f>
        <v>47</v>
      </c>
      <c r="H15" s="114">
        <f>'Firing Inaccuracy(Standing) Raw'!H15+Analysis!C15</f>
        <v>47.119335722651634</v>
      </c>
      <c r="I15" s="114">
        <f>'Firing Inaccuracy(Standing) Raw'!I15+Analysis!C15</f>
        <v>47.120800847620849</v>
      </c>
      <c r="J15" s="114">
        <f>'Firing Inaccuracy(Standing) Raw'!J15+Analysis!C15</f>
        <v>47.120818835454905</v>
      </c>
      <c r="K15" s="114">
        <f>'Firing Inaccuracy(Standing) Raw'!K15+Analysis!C15</f>
        <v>47.12081905629762</v>
      </c>
      <c r="L15" s="114">
        <f>'Firing Inaccuracy(Standing) Raw'!L15+Analysis!C15</f>
        <v>47.12081905900898</v>
      </c>
      <c r="M15" s="114">
        <f>'Firing Inaccuracy(Standing) Raw'!M15+Analysis!C15</f>
        <v>47.120819059042269</v>
      </c>
      <c r="N15" s="114">
        <f>'Firing Inaccuracy(Standing) Raw'!N15+Analysis!C15</f>
        <v>47.120819059042674</v>
      </c>
      <c r="O15" s="184">
        <f>'Firing Inaccuracy(Standing) Raw'!O15</f>
        <v>0</v>
      </c>
      <c r="P15" s="185">
        <f>'Firing Inaccuracy(Standing) Raw'!P15</f>
        <v>0</v>
      </c>
      <c r="Q15" s="187">
        <f>'Firing Inaccuracy(Standing) Raw'!Q15</f>
        <v>0</v>
      </c>
      <c r="R15" s="186">
        <f>'Firing Inaccuracy(Standing) Raw'!R15</f>
        <v>0</v>
      </c>
      <c r="S15" s="177">
        <f>'Firing Inaccuracy(Standing) Raw'!S15</f>
        <v>0</v>
      </c>
      <c r="T15" s="177">
        <f>'Firing Inaccuracy(Standing) Raw'!T15</f>
        <v>0</v>
      </c>
      <c r="U15" s="177">
        <f>'Firing Inaccuracy(Standing) Raw'!U15</f>
        <v>0</v>
      </c>
      <c r="V15" s="177">
        <f>'Firing Inaccuracy(Standing) Raw'!V15</f>
        <v>0</v>
      </c>
      <c r="W15" s="177">
        <f>'Firing Inaccuracy(Standing) Raw'!W15</f>
        <v>0</v>
      </c>
      <c r="X15" s="177">
        <f>'Firing Inaccuracy(Standing) Raw'!X15</f>
        <v>0</v>
      </c>
      <c r="Y15" s="177">
        <f>'Firing Inaccuracy(Standing) Raw'!Y15</f>
        <v>0</v>
      </c>
      <c r="Z15" s="177">
        <f>'Firing Inaccuracy(Standing) Raw'!Z15</f>
        <v>0</v>
      </c>
      <c r="AA15" s="177">
        <f>'Firing Inaccuracy(Standing) Raw'!AA15</f>
        <v>0</v>
      </c>
      <c r="AB15" s="177">
        <f>'Firing Inaccuracy(Standing) Raw'!AB15</f>
        <v>0</v>
      </c>
      <c r="AC15" s="177">
        <f>'Firing Inaccuracy(Standing) Raw'!AC15</f>
        <v>0</v>
      </c>
      <c r="AD15" s="177">
        <f>'Firing Inaccuracy(Standing) Raw'!AD15</f>
        <v>0</v>
      </c>
      <c r="AE15" s="177">
        <f>'Firing Inaccuracy(Standing) Raw'!AE15</f>
        <v>0</v>
      </c>
      <c r="AF15" s="177">
        <f>'Firing Inaccuracy(Standing) Raw'!AF15</f>
        <v>0</v>
      </c>
      <c r="AG15" s="177">
        <f>'Firing Inaccuracy(Standing) Raw'!AG15</f>
        <v>0</v>
      </c>
      <c r="AH15" s="177">
        <f>'Firing Inaccuracy(Standing) Raw'!AH15</f>
        <v>0</v>
      </c>
      <c r="AI15" s="177">
        <f>'Firing Inaccuracy(Standing) Raw'!AI15</f>
        <v>0</v>
      </c>
      <c r="AJ15" s="177">
        <f>'Firing Inaccuracy(Standing) Raw'!AJ15</f>
        <v>0</v>
      </c>
    </row>
    <row r="16" spans="1:36" ht="15.75" customHeight="1" x14ac:dyDescent="0.15">
      <c r="A16" s="36" t="s">
        <v>156</v>
      </c>
      <c r="B16" s="83">
        <f>'Firing Inaccuracy(Standing) Raw'!B16</f>
        <v>0.85</v>
      </c>
      <c r="C16" s="15">
        <f>'Firing Inaccuracy(Standing) Raw'!C16</f>
        <v>9.7200000000000006</v>
      </c>
      <c r="D16" s="22">
        <f>'Firing Inaccuracy(Standing) Raw'!D16</f>
        <v>0.46051700000000001</v>
      </c>
      <c r="E16" s="33" t="str">
        <f>'Firing Inaccuracy(Standing) Raw'!E16</f>
        <v>N/A</v>
      </c>
      <c r="F16" s="176">
        <f>'Firing Inaccuracy(Standing) Raw'!F16</f>
        <v>0</v>
      </c>
      <c r="G16" s="21">
        <f>'Firing Inaccuracy(Standing) Raw'!G16+Analysis!C16</f>
        <v>69</v>
      </c>
      <c r="H16" s="114">
        <f>'Firing Inaccuracy(Standing) Raw'!H16+Analysis!C16</f>
        <v>69.138648329797334</v>
      </c>
      <c r="I16" s="114">
        <f>'Firing Inaccuracy(Standing) Raw'!I16+Analysis!C16</f>
        <v>69.140626041665186</v>
      </c>
      <c r="J16" s="114">
        <f>'Firing Inaccuracy(Standing) Raw'!J16+Analysis!C16</f>
        <v>69.140654252205039</v>
      </c>
      <c r="K16" s="114">
        <f>'Firing Inaccuracy(Standing) Raw'!K16+Analysis!C16</f>
        <v>69.140654654606706</v>
      </c>
      <c r="L16" s="114">
        <f>'Firing Inaccuracy(Standing) Raw'!L16+Analysis!C16</f>
        <v>69.140654660346655</v>
      </c>
      <c r="M16" s="114">
        <f>'Firing Inaccuracy(Standing) Raw'!M16+Analysis!C16</f>
        <v>69.140654660428524</v>
      </c>
      <c r="N16" s="114"/>
      <c r="O16" s="184">
        <f>'Firing Inaccuracy(Standing) Raw'!O16</f>
        <v>0</v>
      </c>
      <c r="P16" s="177">
        <f>'Firing Inaccuracy(Standing) Raw'!P16</f>
        <v>0</v>
      </c>
      <c r="Q16" s="177">
        <f>'Firing Inaccuracy(Standing) Raw'!Q16</f>
        <v>0</v>
      </c>
      <c r="R16" s="177">
        <f>'Firing Inaccuracy(Standing) Raw'!R16</f>
        <v>0</v>
      </c>
      <c r="S16" s="177">
        <f>'Firing Inaccuracy(Standing) Raw'!S16</f>
        <v>0</v>
      </c>
      <c r="T16" s="177">
        <f>'Firing Inaccuracy(Standing) Raw'!T16</f>
        <v>0</v>
      </c>
      <c r="U16" s="177">
        <f>'Firing Inaccuracy(Standing) Raw'!U16</f>
        <v>0</v>
      </c>
      <c r="V16" s="177">
        <f>'Firing Inaccuracy(Standing) Raw'!V16</f>
        <v>0</v>
      </c>
      <c r="W16" s="177">
        <f>'Firing Inaccuracy(Standing) Raw'!W16</f>
        <v>0</v>
      </c>
      <c r="X16" s="177">
        <f>'Firing Inaccuracy(Standing) Raw'!X16</f>
        <v>0</v>
      </c>
      <c r="Y16" s="177">
        <f>'Firing Inaccuracy(Standing) Raw'!Y16</f>
        <v>0</v>
      </c>
      <c r="Z16" s="177">
        <f>'Firing Inaccuracy(Standing) Raw'!Z16</f>
        <v>0</v>
      </c>
      <c r="AA16" s="177">
        <f>'Firing Inaccuracy(Standing) Raw'!AA16</f>
        <v>0</v>
      </c>
      <c r="AB16" s="177">
        <f>'Firing Inaccuracy(Standing) Raw'!AB16</f>
        <v>0</v>
      </c>
      <c r="AC16" s="177">
        <f>'Firing Inaccuracy(Standing) Raw'!AC16</f>
        <v>0</v>
      </c>
      <c r="AD16" s="177">
        <f>'Firing Inaccuracy(Standing) Raw'!AD16</f>
        <v>0</v>
      </c>
      <c r="AE16" s="177">
        <f>'Firing Inaccuracy(Standing) Raw'!AE16</f>
        <v>0</v>
      </c>
      <c r="AF16" s="177">
        <f>'Firing Inaccuracy(Standing) Raw'!AF16</f>
        <v>0</v>
      </c>
      <c r="AG16" s="177">
        <f>'Firing Inaccuracy(Standing) Raw'!AG16</f>
        <v>0</v>
      </c>
      <c r="AH16" s="177">
        <f>'Firing Inaccuracy(Standing) Raw'!AH16</f>
        <v>0</v>
      </c>
      <c r="AI16" s="177">
        <f>'Firing Inaccuracy(Standing) Raw'!AI16</f>
        <v>0</v>
      </c>
      <c r="AJ16" s="177">
        <f>'Firing Inaccuracy(Standing) Raw'!AJ16</f>
        <v>0</v>
      </c>
    </row>
    <row r="17" spans="1:36" ht="15.75" customHeight="1" x14ac:dyDescent="0.15">
      <c r="A17" s="9" t="s">
        <v>157</v>
      </c>
      <c r="B17" s="83">
        <f>'Firing Inaccuracy(Standing) Raw'!B17</f>
        <v>0.35</v>
      </c>
      <c r="C17" s="15">
        <f>'Firing Inaccuracy(Standing) Raw'!C17</f>
        <v>8.83</v>
      </c>
      <c r="D17" s="22">
        <f>'Firing Inaccuracy(Standing) Raw'!D17</f>
        <v>0.50656900000000005</v>
      </c>
      <c r="E17" s="33" t="str">
        <f>'Firing Inaccuracy(Standing) Raw'!E17</f>
        <v>N/A</v>
      </c>
      <c r="F17" s="176">
        <f>'Firing Inaccuracy(Standing) Raw'!F17</f>
        <v>0</v>
      </c>
      <c r="G17" s="21">
        <f>'Firing Inaccuracy(Standing) Raw'!G17+Analysis!C17</f>
        <v>45</v>
      </c>
      <c r="H17" s="114">
        <f>'Firing Inaccuracy(Standing) Raw'!H17+Analysis!C17</f>
        <v>46.799028508356336</v>
      </c>
      <c r="I17" s="114">
        <f>'Firing Inaccuracy(Standing) Raw'!I17+Analysis!C17</f>
        <v>47.165563454435478</v>
      </c>
      <c r="J17" s="114">
        <f>'Firing Inaccuracy(Standing) Raw'!J17+Analysis!C17</f>
        <v>47.240241463190316</v>
      </c>
      <c r="K17" s="114">
        <f>'Firing Inaccuracy(Standing) Raw'!K17+Analysis!C17</f>
        <v>47.255456397131113</v>
      </c>
      <c r="L17" s="114">
        <f>'Firing Inaccuracy(Standing) Raw'!L17+Analysis!C17</f>
        <v>47.258556295195923</v>
      </c>
      <c r="M17" s="114">
        <f>'Firing Inaccuracy(Standing) Raw'!M17+Analysis!C17</f>
        <v>47.259187869940156</v>
      </c>
      <c r="N17" s="114"/>
      <c r="O17" s="184">
        <f>'Firing Inaccuracy(Standing) Raw'!O17</f>
        <v>0</v>
      </c>
      <c r="P17" s="177">
        <f>'Firing Inaccuracy(Standing) Raw'!P17</f>
        <v>0</v>
      </c>
      <c r="Q17" s="177">
        <f>'Firing Inaccuracy(Standing) Raw'!Q17</f>
        <v>0</v>
      </c>
      <c r="R17" s="177">
        <f>'Firing Inaccuracy(Standing) Raw'!R17</f>
        <v>0</v>
      </c>
      <c r="S17" s="177">
        <f>'Firing Inaccuracy(Standing) Raw'!S17</f>
        <v>0</v>
      </c>
      <c r="T17" s="177">
        <f>'Firing Inaccuracy(Standing) Raw'!T17</f>
        <v>0</v>
      </c>
      <c r="U17" s="177">
        <f>'Firing Inaccuracy(Standing) Raw'!U17</f>
        <v>0</v>
      </c>
      <c r="V17" s="177">
        <f>'Firing Inaccuracy(Standing) Raw'!V17</f>
        <v>0</v>
      </c>
      <c r="W17" s="177">
        <f>'Firing Inaccuracy(Standing) Raw'!W17</f>
        <v>0</v>
      </c>
      <c r="X17" s="177">
        <f>'Firing Inaccuracy(Standing) Raw'!X17</f>
        <v>0</v>
      </c>
      <c r="Y17" s="177">
        <f>'Firing Inaccuracy(Standing) Raw'!Y17</f>
        <v>0</v>
      </c>
      <c r="Z17" s="177">
        <f>'Firing Inaccuracy(Standing) Raw'!Z17</f>
        <v>0</v>
      </c>
      <c r="AA17" s="177">
        <f>'Firing Inaccuracy(Standing) Raw'!AA17</f>
        <v>0</v>
      </c>
      <c r="AB17" s="177">
        <f>'Firing Inaccuracy(Standing) Raw'!AB17</f>
        <v>0</v>
      </c>
      <c r="AC17" s="177">
        <f>'Firing Inaccuracy(Standing) Raw'!AC17</f>
        <v>0</v>
      </c>
      <c r="AD17" s="177">
        <f>'Firing Inaccuracy(Standing) Raw'!AD17</f>
        <v>0</v>
      </c>
      <c r="AE17" s="177">
        <f>'Firing Inaccuracy(Standing) Raw'!AE17</f>
        <v>0</v>
      </c>
      <c r="AF17" s="177">
        <f>'Firing Inaccuracy(Standing) Raw'!AF17</f>
        <v>0</v>
      </c>
      <c r="AG17" s="177">
        <f>'Firing Inaccuracy(Standing) Raw'!AG17</f>
        <v>0</v>
      </c>
      <c r="AH17" s="177">
        <f>'Firing Inaccuracy(Standing) Raw'!AH17</f>
        <v>0</v>
      </c>
      <c r="AI17" s="177">
        <f>'Firing Inaccuracy(Standing) Raw'!AI17</f>
        <v>0</v>
      </c>
      <c r="AJ17" s="177">
        <f>'Firing Inaccuracy(Standing) Raw'!AJ17</f>
        <v>0</v>
      </c>
    </row>
    <row r="18" spans="1:36" ht="15.75" customHeight="1" x14ac:dyDescent="0.15">
      <c r="A18" s="39"/>
      <c r="B18" s="101">
        <f>'Firing Inaccuracy(Standing) Raw'!B18</f>
        <v>0</v>
      </c>
      <c r="C18" s="177">
        <f>'Firing Inaccuracy(Standing) Raw'!C18</f>
        <v>0</v>
      </c>
      <c r="D18" s="178">
        <f>'Firing Inaccuracy(Standing) Raw'!D18</f>
        <v>0</v>
      </c>
      <c r="E18" s="178">
        <f>'Firing Inaccuracy(Standing) Raw'!E18</f>
        <v>0</v>
      </c>
      <c r="F18" s="179">
        <f>'Firing Inaccuracy(Standing) Raw'!F18</f>
        <v>0</v>
      </c>
      <c r="G18" s="41">
        <f>'Firing Inaccuracy(Standing) Raw'!G18</f>
        <v>0</v>
      </c>
      <c r="H18" s="41">
        <f>'Firing Inaccuracy(Standing) Raw'!H18</f>
        <v>0</v>
      </c>
      <c r="I18" s="41">
        <f>'Firing Inaccuracy(Standing) Raw'!I18</f>
        <v>0</v>
      </c>
      <c r="J18" s="41">
        <f>'Firing Inaccuracy(Standing) Raw'!J18</f>
        <v>0</v>
      </c>
      <c r="K18" s="41">
        <f>'Firing Inaccuracy(Standing) Raw'!K18</f>
        <v>0</v>
      </c>
      <c r="L18" s="41">
        <f>'Firing Inaccuracy(Standing) Raw'!L18</f>
        <v>0</v>
      </c>
      <c r="M18" s="41">
        <f>'Firing Inaccuracy(Standing) Raw'!M18</f>
        <v>0</v>
      </c>
      <c r="N18" s="41">
        <f>'Firing Inaccuracy(Standing) Raw'!N18</f>
        <v>0</v>
      </c>
      <c r="O18" s="188">
        <f>'Firing Inaccuracy(Standing) Raw'!O18</f>
        <v>0</v>
      </c>
      <c r="P18" s="188">
        <f>'Firing Inaccuracy(Standing) Raw'!P18</f>
        <v>0</v>
      </c>
      <c r="Q18" s="188">
        <f>'Firing Inaccuracy(Standing) Raw'!Q18</f>
        <v>0</v>
      </c>
      <c r="R18" s="188">
        <f>'Firing Inaccuracy(Standing) Raw'!R18</f>
        <v>0</v>
      </c>
      <c r="S18" s="188">
        <f>'Firing Inaccuracy(Standing) Raw'!S18</f>
        <v>0</v>
      </c>
      <c r="T18" s="188">
        <f>'Firing Inaccuracy(Standing) Raw'!T18</f>
        <v>0</v>
      </c>
      <c r="U18" s="188">
        <f>'Firing Inaccuracy(Standing) Raw'!U18</f>
        <v>0</v>
      </c>
      <c r="V18" s="188">
        <f>'Firing Inaccuracy(Standing) Raw'!V18</f>
        <v>0</v>
      </c>
      <c r="W18" s="188">
        <f>'Firing Inaccuracy(Standing) Raw'!W18</f>
        <v>0</v>
      </c>
      <c r="X18" s="188">
        <f>'Firing Inaccuracy(Standing) Raw'!X18</f>
        <v>0</v>
      </c>
      <c r="Y18" s="188">
        <f>'Firing Inaccuracy(Standing) Raw'!Y18</f>
        <v>0</v>
      </c>
      <c r="Z18" s="188">
        <f>'Firing Inaccuracy(Standing) Raw'!Z18</f>
        <v>0</v>
      </c>
      <c r="AA18" s="188">
        <f>'Firing Inaccuracy(Standing) Raw'!AA18</f>
        <v>0</v>
      </c>
      <c r="AB18" s="188">
        <f>'Firing Inaccuracy(Standing) Raw'!AB18</f>
        <v>0</v>
      </c>
      <c r="AC18" s="188">
        <f>'Firing Inaccuracy(Standing) Raw'!AC18</f>
        <v>0</v>
      </c>
      <c r="AD18" s="188">
        <f>'Firing Inaccuracy(Standing) Raw'!AD18</f>
        <v>0</v>
      </c>
      <c r="AE18" s="188">
        <f>'Firing Inaccuracy(Standing) Raw'!AE18</f>
        <v>0</v>
      </c>
      <c r="AF18" s="188">
        <f>'Firing Inaccuracy(Standing) Raw'!AF18</f>
        <v>0</v>
      </c>
      <c r="AG18" s="188">
        <f>'Firing Inaccuracy(Standing) Raw'!AG18</f>
        <v>0</v>
      </c>
      <c r="AH18" s="188">
        <f>'Firing Inaccuracy(Standing) Raw'!AH18</f>
        <v>0</v>
      </c>
      <c r="AI18" s="188">
        <f>'Firing Inaccuracy(Standing) Raw'!AI18</f>
        <v>0</v>
      </c>
      <c r="AJ18" s="188">
        <f>'Firing Inaccuracy(Standing) Raw'!AJ18</f>
        <v>0</v>
      </c>
    </row>
    <row r="19" spans="1:36" ht="15.75" customHeight="1" x14ac:dyDescent="0.15">
      <c r="A19" s="1" t="s">
        <v>59</v>
      </c>
      <c r="B19" s="69" t="str">
        <f>'Firing Inaccuracy(Standing) Raw'!B19</f>
        <v>CycleTime</v>
      </c>
      <c r="C19" s="4" t="str">
        <f>'Firing Inaccuracy(Standing) Raw'!C19</f>
        <v>Inaccuracy
Fire</v>
      </c>
      <c r="D19" s="7" t="str">
        <f>'Firing Inaccuracy(Standing) Raw'!D19</f>
        <v>Recovery
TimeStand</v>
      </c>
      <c r="E19" s="7" t="str">
        <f>'Firing Inaccuracy(Standing) Raw'!E19</f>
        <v>RecoveryTime
StandFinal</v>
      </c>
      <c r="F19" s="174">
        <f>'Firing Inaccuracy(Standing) Raw'!F19</f>
        <v>0</v>
      </c>
      <c r="G19" s="175">
        <f>'Firing Inaccuracy(Standing) Raw'!G19</f>
        <v>1</v>
      </c>
      <c r="H19" s="175">
        <f>'Firing Inaccuracy(Standing) Raw'!H19</f>
        <v>2</v>
      </c>
      <c r="I19" s="175">
        <f>'Firing Inaccuracy(Standing) Raw'!I19</f>
        <v>3</v>
      </c>
      <c r="J19" s="175">
        <f>'Firing Inaccuracy(Standing) Raw'!J19</f>
        <v>4</v>
      </c>
      <c r="K19" s="175">
        <f>'Firing Inaccuracy(Standing) Raw'!K19</f>
        <v>5</v>
      </c>
      <c r="L19" s="175">
        <f>'Firing Inaccuracy(Standing) Raw'!L19</f>
        <v>6</v>
      </c>
      <c r="M19" s="175">
        <f>'Firing Inaccuracy(Standing) Raw'!M19</f>
        <v>7</v>
      </c>
      <c r="N19" s="175">
        <f>'Firing Inaccuracy(Standing) Raw'!N19</f>
        <v>8</v>
      </c>
      <c r="O19" s="175">
        <f>'Firing Inaccuracy(Standing) Raw'!O19</f>
        <v>9</v>
      </c>
      <c r="P19" s="175">
        <f>'Firing Inaccuracy(Standing) Raw'!P19</f>
        <v>10</v>
      </c>
      <c r="Q19" s="175">
        <f>'Firing Inaccuracy(Standing) Raw'!Q19</f>
        <v>11</v>
      </c>
      <c r="R19" s="175">
        <f>'Firing Inaccuracy(Standing) Raw'!R19</f>
        <v>12</v>
      </c>
      <c r="S19" s="175">
        <f>'Firing Inaccuracy(Standing) Raw'!S19</f>
        <v>13</v>
      </c>
      <c r="T19" s="175">
        <f>'Firing Inaccuracy(Standing) Raw'!T19</f>
        <v>14</v>
      </c>
      <c r="U19" s="175">
        <f>'Firing Inaccuracy(Standing) Raw'!U19</f>
        <v>15</v>
      </c>
      <c r="V19" s="175">
        <f>'Firing Inaccuracy(Standing) Raw'!V19</f>
        <v>16</v>
      </c>
      <c r="W19" s="175">
        <f>'Firing Inaccuracy(Standing) Raw'!W19</f>
        <v>17</v>
      </c>
      <c r="X19" s="175">
        <f>'Firing Inaccuracy(Standing) Raw'!X19</f>
        <v>18</v>
      </c>
      <c r="Y19" s="175">
        <f>'Firing Inaccuracy(Standing) Raw'!Y19</f>
        <v>19</v>
      </c>
      <c r="Z19" s="175">
        <f>'Firing Inaccuracy(Standing) Raw'!Z19</f>
        <v>20</v>
      </c>
      <c r="AA19" s="175">
        <f>'Firing Inaccuracy(Standing) Raw'!AA19</f>
        <v>21</v>
      </c>
      <c r="AB19" s="175">
        <f>'Firing Inaccuracy(Standing) Raw'!AB19</f>
        <v>22</v>
      </c>
      <c r="AC19" s="175">
        <f>'Firing Inaccuracy(Standing) Raw'!AC19</f>
        <v>23</v>
      </c>
      <c r="AD19" s="175">
        <f>'Firing Inaccuracy(Standing) Raw'!AD19</f>
        <v>24</v>
      </c>
      <c r="AE19" s="175">
        <f>'Firing Inaccuracy(Standing) Raw'!AE19</f>
        <v>25</v>
      </c>
      <c r="AF19" s="175">
        <f>'Firing Inaccuracy(Standing) Raw'!AF19</f>
        <v>26</v>
      </c>
      <c r="AG19" s="175">
        <f>'Firing Inaccuracy(Standing) Raw'!AG19</f>
        <v>27</v>
      </c>
      <c r="AH19" s="175">
        <f>'Firing Inaccuracy(Standing) Raw'!AH19</f>
        <v>28</v>
      </c>
      <c r="AI19" s="175">
        <f>'Firing Inaccuracy(Standing) Raw'!AI19</f>
        <v>29</v>
      </c>
      <c r="AJ19" s="175">
        <f>'Firing Inaccuracy(Standing) Raw'!AJ19</f>
        <v>30</v>
      </c>
    </row>
    <row r="20" spans="1:36" ht="15.75" customHeight="1" x14ac:dyDescent="0.15">
      <c r="A20" s="9" t="s">
        <v>158</v>
      </c>
      <c r="B20" s="83">
        <f>'Firing Inaccuracy(Standing) Raw'!B20</f>
        <v>0.08</v>
      </c>
      <c r="C20" s="15">
        <f>'Firing Inaccuracy(Standing) Raw'!C20</f>
        <v>2.88</v>
      </c>
      <c r="D20" s="22">
        <f>'Firing Inaccuracy(Standing) Raw'!D20</f>
        <v>0.33157199999999998</v>
      </c>
      <c r="E20" s="33" t="str">
        <f>'Firing Inaccuracy(Standing) Raw'!E20</f>
        <v>N/A</v>
      </c>
      <c r="F20" s="176">
        <f>'Firing Inaccuracy(Standing) Raw'!F20</f>
        <v>0</v>
      </c>
      <c r="G20" s="21">
        <f>'Firing Inaccuracy(Standing) Raw'!G20+Analysis!C20</f>
        <v>15</v>
      </c>
      <c r="H20" s="114">
        <f>'Firing Inaccuracy(Standing) Raw'!H20+Analysis!C20</f>
        <v>16.652409150173597</v>
      </c>
      <c r="I20" s="114">
        <f>'Firing Inaccuracy(Standing) Raw'!I20+Analysis!C20</f>
        <v>17.600484150026869</v>
      </c>
      <c r="J20" s="114">
        <f>'Firing Inaccuracy(Standing) Raw'!J20+Analysis!C20</f>
        <v>18.144445193363111</v>
      </c>
      <c r="K20" s="114">
        <f>'Firing Inaccuracy(Standing) Raw'!K20+Analysis!C20</f>
        <v>18.456544570219634</v>
      </c>
      <c r="L20" s="114">
        <f>'Firing Inaccuracy(Standing) Raw'!L20+Analysis!C20</f>
        <v>18.635612579275602</v>
      </c>
      <c r="M20" s="114">
        <f>'Firing Inaccuracy(Standing) Raw'!M20+Analysis!C20</f>
        <v>18.738353418396247</v>
      </c>
      <c r="N20" s="114">
        <f>'Firing Inaccuracy(Standing) Raw'!N20+Analysis!C20</f>
        <v>18.797301301264117</v>
      </c>
      <c r="O20" s="114">
        <f>'Firing Inaccuracy(Standing) Raw'!O20+Analysis!C20</f>
        <v>18.831122836345447</v>
      </c>
      <c r="P20" s="114">
        <f>'Firing Inaccuracy(Standing) Raw'!P20+Analysis!C20</f>
        <v>18.850528049554235</v>
      </c>
      <c r="Q20" s="114">
        <f>'Firing Inaccuracy(Standing) Raw'!Q20+Analysis!C20</f>
        <v>18.861661852285923</v>
      </c>
      <c r="R20" s="114">
        <f>'Firing Inaccuracy(Standing) Raw'!R20+Analysis!C20</f>
        <v>18.868049906976921</v>
      </c>
      <c r="S20" s="114">
        <f>'Firing Inaccuracy(Standing) Raw'!S20+Analysis!C20</f>
        <v>18.87171507365165</v>
      </c>
      <c r="T20" s="114">
        <f>'Firing Inaccuracy(Standing) Raw'!T20+Analysis!C20</f>
        <v>18.873817974676037</v>
      </c>
      <c r="U20" s="114">
        <f>'Firing Inaccuracy(Standing) Raw'!U20+Analysis!C20</f>
        <v>18.875024520819995</v>
      </c>
      <c r="V20" s="114">
        <f>'Firing Inaccuracy(Standing) Raw'!V20+Analysis!C20</f>
        <v>18.87571678050346</v>
      </c>
      <c r="W20" s="114">
        <f>'Firing Inaccuracy(Standing) Raw'!W20+Analysis!C20</f>
        <v>18.876113966696259</v>
      </c>
      <c r="X20" s="114">
        <f>'Firing Inaccuracy(Standing) Raw'!X20+Analysis!C20</f>
        <v>18.876341853536296</v>
      </c>
      <c r="Y20" s="114">
        <f>'Firing Inaccuracy(Standing) Raw'!Y20+Analysis!C20</f>
        <v>18.876472604334793</v>
      </c>
      <c r="Z20" s="114">
        <f>'Firing Inaccuracy(Standing) Raw'!Z20+Analysis!C20</f>
        <v>18.876547623020848</v>
      </c>
      <c r="AA20" s="114">
        <f>'Firing Inaccuracy(Standing) Raw'!AA20+Analysis!C20</f>
        <v>18.876590665230314</v>
      </c>
      <c r="AB20" s="114">
        <f>'Firing Inaccuracy(Standing) Raw'!AB20+Analysis!C20</f>
        <v>18.876615360834748</v>
      </c>
      <c r="AC20" s="114">
        <f>'Firing Inaccuracy(Standing) Raw'!AC20+Analysis!C20</f>
        <v>18.876629530016253</v>
      </c>
      <c r="AD20" s="114">
        <f>'Firing Inaccuracy(Standing) Raw'!AD20+Analysis!C20</f>
        <v>18.876637659629161</v>
      </c>
      <c r="AE20" s="114">
        <f>'Firing Inaccuracy(Standing) Raw'!AE20+Analysis!C20</f>
        <v>18.876642324020395</v>
      </c>
      <c r="AF20" s="114">
        <f>'Firing Inaccuracy(Standing) Raw'!AF20+Analysis!C20</f>
        <v>18.876645000229683</v>
      </c>
      <c r="AG20" s="114">
        <f>'Firing Inaccuracy(Standing) Raw'!AG20+Analysis!C20</f>
        <v>18.876646535713267</v>
      </c>
      <c r="AH20" s="114">
        <f>'Firing Inaccuracy(Standing) Raw'!AH20+Analysis!C20</f>
        <v>18.87664741670185</v>
      </c>
      <c r="AI20" s="114">
        <f>'Firing Inaccuracy(Standing) Raw'!AI20+Analysis!C20</f>
        <v>18.876647922171848</v>
      </c>
      <c r="AJ20" s="114">
        <f>'Firing Inaccuracy(Standing) Raw'!AJ20+Analysis!C20</f>
        <v>18.876648212186868</v>
      </c>
    </row>
    <row r="21" spans="1:36" ht="15.75" customHeight="1" x14ac:dyDescent="0.15">
      <c r="A21" s="36" t="s">
        <v>160</v>
      </c>
      <c r="B21" s="83">
        <f>'Firing Inaccuracy(Standing) Raw'!B21</f>
        <v>7.4999999999999997E-2</v>
      </c>
      <c r="C21" s="15">
        <f>'Firing Inaccuracy(Standing) Raw'!C21</f>
        <v>4.76</v>
      </c>
      <c r="D21" s="22">
        <f>'Firing Inaccuracy(Standing) Raw'!D21</f>
        <v>0.399729</v>
      </c>
      <c r="E21" s="33" t="str">
        <f>'Firing Inaccuracy(Standing) Raw'!E21</f>
        <v>N/A</v>
      </c>
      <c r="F21" s="176">
        <f>'Firing Inaccuracy(Standing) Raw'!F21</f>
        <v>0</v>
      </c>
      <c r="G21" s="21">
        <f>'Firing Inaccuracy(Standing) Raw'!G21+Analysis!C21</f>
        <v>13.9</v>
      </c>
      <c r="H21" s="114">
        <f>'Firing Inaccuracy(Standing) Raw'!H21+Analysis!C21</f>
        <v>16.990151950875056</v>
      </c>
      <c r="I21" s="114">
        <f>'Firing Inaccuracy(Standing) Raw'!I21+Analysis!C21</f>
        <v>18.996252597828189</v>
      </c>
      <c r="J21" s="114">
        <f>'Firing Inaccuracy(Standing) Raw'!J21+Analysis!C21</f>
        <v>20.298596259137838</v>
      </c>
      <c r="K21" s="114">
        <f>'Firing Inaccuracy(Standing) Raw'!K21+Analysis!C21</f>
        <v>21.144066806555017</v>
      </c>
      <c r="L21" s="114">
        <f>'Firing Inaccuracy(Standing) Raw'!L21+Analysis!C21</f>
        <v>21.692939172418168</v>
      </c>
      <c r="M21" s="114">
        <f>'Firing Inaccuracy(Standing) Raw'!M21+Analysis!C21</f>
        <v>22.049262494299139</v>
      </c>
      <c r="N21" s="114">
        <f>'Firing Inaccuracy(Standing) Raw'!N21+Analysis!C21</f>
        <v>22.280584596873247</v>
      </c>
      <c r="O21" s="114">
        <f>'Firing Inaccuracy(Standing) Raw'!O21+Analysis!C21</f>
        <v>22.430756959593815</v>
      </c>
      <c r="P21" s="114">
        <f>'Firing Inaccuracy(Standing) Raw'!P21+Analysis!C21</f>
        <v>22.528247593969546</v>
      </c>
      <c r="Q21" s="114">
        <f>'Firing Inaccuracy(Standing) Raw'!Q21+Analysis!C21</f>
        <v>22.591537693551103</v>
      </c>
      <c r="R21" s="114">
        <f>'Firing Inaccuracy(Standing) Raw'!R21+Analysis!C21</f>
        <v>22.632625093696699</v>
      </c>
      <c r="S21" s="114">
        <f>'Firing Inaccuracy(Standing) Raw'!S21+Analysis!C21</f>
        <v>22.659298688174911</v>
      </c>
      <c r="T21" s="114">
        <f>'Firing Inaccuracy(Standing) Raw'!T21+Analysis!C21</f>
        <v>22.676614961287033</v>
      </c>
      <c r="U21" s="114">
        <f>'Firing Inaccuracy(Standing) Raw'!U21+Analysis!C21</f>
        <v>22.687856540097812</v>
      </c>
      <c r="V21" s="114">
        <f>'Firing Inaccuracy(Standing) Raw'!V21+Analysis!C21</f>
        <v>22.695154478478702</v>
      </c>
      <c r="W21" s="114">
        <f>'Firing Inaccuracy(Standing) Raw'!W21+Analysis!C21</f>
        <v>22.699892238673044</v>
      </c>
      <c r="X21" s="114">
        <f>'Firing Inaccuracy(Standing) Raw'!X21+Analysis!C21</f>
        <v>22.70296795272921</v>
      </c>
      <c r="Y21" s="114">
        <f>'Firing Inaccuracy(Standing) Raw'!Y21+Analysis!C21</f>
        <v>22.704964680416388</v>
      </c>
      <c r="Z21" s="114">
        <f>'Firing Inaccuracy(Standing) Raw'!Z21+Analysis!C21</f>
        <v>22.706260939231079</v>
      </c>
      <c r="AA21" s="114">
        <f>'Firing Inaccuracy(Standing) Raw'!AA21+Analysis!C21</f>
        <v>22.707102459547265</v>
      </c>
      <c r="AB21" s="114">
        <f>'Firing Inaccuracy(Standing) Raw'!AB21+Analysis!C21</f>
        <v>22.707648767456249</v>
      </c>
      <c r="AC21" s="114">
        <f>'Firing Inaccuracy(Standing) Raw'!AC21+Analysis!C21</f>
        <v>22.708003425954296</v>
      </c>
      <c r="AD21" s="114">
        <f>'Firing Inaccuracy(Standing) Raw'!AD21+Analysis!C21</f>
        <v>22.708233667267251</v>
      </c>
      <c r="AE21" s="114">
        <f>'Firing Inaccuracy(Standing) Raw'!AE21+Analysis!C21</f>
        <v>22.708383137990438</v>
      </c>
      <c r="AF21" s="114">
        <f>'Firing Inaccuracy(Standing) Raw'!AF21+Analysis!C21</f>
        <v>22.708480173126336</v>
      </c>
      <c r="AG21" s="114">
        <f>'Firing Inaccuracy(Standing) Raw'!AG21+Analysis!C21</f>
        <v>22.708543167520137</v>
      </c>
      <c r="AH21" s="114">
        <f>'Firing Inaccuracy(Standing) Raw'!AH21+Analysis!C21</f>
        <v>22.708584062950578</v>
      </c>
      <c r="AI21" s="114">
        <f>'Firing Inaccuracy(Standing) Raw'!AI21+Analysis!C21</f>
        <v>22.708610611919937</v>
      </c>
      <c r="AJ21" s="114">
        <f>'Firing Inaccuracy(Standing) Raw'!AJ21+Analysis!C21</f>
        <v>22.708627847287474</v>
      </c>
    </row>
    <row r="22" spans="1:36" ht="15.75" customHeight="1" x14ac:dyDescent="0.15">
      <c r="A22" s="9" t="s">
        <v>161</v>
      </c>
      <c r="B22" s="83">
        <f>'Firing Inaccuracy(Standing) Raw'!B22</f>
        <v>0.08</v>
      </c>
      <c r="C22" s="15">
        <f>'Firing Inaccuracy(Standing) Raw'!C22</f>
        <v>2.1800000000000002</v>
      </c>
      <c r="D22" s="22">
        <f>'Firing Inaccuracy(Standing) Raw'!D22</f>
        <v>0.43749100000000002</v>
      </c>
      <c r="E22" s="33" t="str">
        <f>'Firing Inaccuracy(Standing) Raw'!E22</f>
        <v>N/A</v>
      </c>
      <c r="F22" s="176">
        <f>'Firing Inaccuracy(Standing) Raw'!F22</f>
        <v>0</v>
      </c>
      <c r="G22" s="21">
        <f>'Firing Inaccuracy(Standing) Raw'!G22+Analysis!C22</f>
        <v>10.6</v>
      </c>
      <c r="H22" s="114">
        <f>'Firing Inaccuracy(Standing) Raw'!H22+Analysis!C22</f>
        <v>12.03085488003101</v>
      </c>
      <c r="I22" s="114">
        <f>'Firing Inaccuracy(Standing) Raw'!I22+Analysis!C22</f>
        <v>12.970004278062458</v>
      </c>
      <c r="J22" s="114">
        <f>'Firing Inaccuracy(Standing) Raw'!J22+Analysis!C22</f>
        <v>13.586420103407177</v>
      </c>
      <c r="K22" s="114">
        <f>'Firing Inaccuracy(Standing) Raw'!K22+Analysis!C22</f>
        <v>13.991007989564439</v>
      </c>
      <c r="L22" s="114">
        <f>'Firing Inaccuracy(Standing) Raw'!L22+Analysis!C22</f>
        <v>14.256561453467901</v>
      </c>
      <c r="M22" s="114">
        <f>'Firing Inaccuracy(Standing) Raw'!M22+Analysis!C22</f>
        <v>14.430858916649282</v>
      </c>
      <c r="N22" s="114">
        <f>'Firing Inaccuracy(Standing) Raw'!N22+Analysis!C22</f>
        <v>14.545260006452082</v>
      </c>
      <c r="O22" s="114">
        <f>'Firing Inaccuracy(Standing) Raw'!O22+Analysis!C22</f>
        <v>14.620347785179238</v>
      </c>
      <c r="P22" s="114">
        <f>'Firing Inaccuracy(Standing) Raw'!P22+Analysis!C22</f>
        <v>14.669632057941826</v>
      </c>
      <c r="Q22" s="114">
        <f>'Firing Inaccuracy(Standing) Raw'!Q22+Analysis!C22</f>
        <v>14.70198005894693</v>
      </c>
      <c r="R22" s="114">
        <f>'Firing Inaccuracy(Standing) Raw'!R22+Analysis!C22</f>
        <v>14.723211845688859</v>
      </c>
      <c r="S22" s="114">
        <f>'Firing Inaccuracy(Standing) Raw'!S22+Analysis!C22</f>
        <v>14.737147444620723</v>
      </c>
      <c r="T22" s="114">
        <f>'Firing Inaccuracy(Standing) Raw'!T22+Analysis!C22</f>
        <v>14.746294150922472</v>
      </c>
      <c r="U22" s="114">
        <f>'Firing Inaccuracy(Standing) Raw'!U22+Analysis!C22</f>
        <v>14.752297641449108</v>
      </c>
      <c r="V22" s="114">
        <f>'Firing Inaccuracy(Standing) Raw'!V22+Analysis!C22</f>
        <v>14.756238065172621</v>
      </c>
      <c r="W22" s="114">
        <f>'Firing Inaccuracy(Standing) Raw'!W22+Analysis!C22</f>
        <v>14.758824383757108</v>
      </c>
      <c r="X22" s="114">
        <f>'Firing Inaccuracy(Standing) Raw'!X22+Analysis!C22</f>
        <v>14.76052192805432</v>
      </c>
      <c r="Y22" s="114">
        <f>'Firing Inaccuracy(Standing) Raw'!Y22+Analysis!C22</f>
        <v>14.76163612050466</v>
      </c>
      <c r="Z22" s="114">
        <f>'Firing Inaccuracy(Standing) Raw'!Z22+Analysis!C22</f>
        <v>14.762367426791293</v>
      </c>
      <c r="AA22" s="114">
        <f>'Firing Inaccuracy(Standing) Raw'!AA22+Analysis!C22</f>
        <v>14.762847423657817</v>
      </c>
      <c r="AB22" s="114">
        <f>'Firing Inaccuracy(Standing) Raw'!AB22+Analysis!C22</f>
        <v>14.763162472216932</v>
      </c>
      <c r="AC22" s="114">
        <f>'Firing Inaccuracy(Standing) Raw'!AC22+Analysis!C22</f>
        <v>14.763369256055579</v>
      </c>
      <c r="AD22" s="114">
        <f>'Firing Inaccuracy(Standing) Raw'!AD22+Analysis!C22</f>
        <v>14.763504979754959</v>
      </c>
      <c r="AE22" s="114">
        <f>'Firing Inaccuracy(Standing) Raw'!AE22+Analysis!C22</f>
        <v>14.763594062744678</v>
      </c>
      <c r="AF22" s="114">
        <f>'Firing Inaccuracy(Standing) Raw'!AF22+Analysis!C22</f>
        <v>14.763652532850443</v>
      </c>
      <c r="AG22" s="114">
        <f>'Firing Inaccuracy(Standing) Raw'!AG22+Analysis!C22</f>
        <v>14.763690910022998</v>
      </c>
      <c r="AH22" s="114">
        <f>'Firing Inaccuracy(Standing) Raw'!AH22+Analysis!C22</f>
        <v>14.763716099089343</v>
      </c>
      <c r="AI22" s="114">
        <f>'Firing Inaccuracy(Standing) Raw'!AI22+Analysis!C22</f>
        <v>14.763732632070308</v>
      </c>
      <c r="AJ22" s="114">
        <f>'Firing Inaccuracy(Standing) Raw'!AJ22+Analysis!C22</f>
        <v>14.763743483582463</v>
      </c>
    </row>
    <row r="23" spans="1:36" ht="15.75" customHeight="1" x14ac:dyDescent="0.15">
      <c r="A23" s="53" t="s">
        <v>162</v>
      </c>
      <c r="B23" s="83">
        <f>'Firing Inaccuracy(Standing) Raw'!B23</f>
        <v>0.08</v>
      </c>
      <c r="C23" s="15">
        <f>'Firing Inaccuracy(Standing) Raw'!C23</f>
        <v>2.1800000000000002</v>
      </c>
      <c r="D23" s="22">
        <f>'Firing Inaccuracy(Standing) Raw'!D23</f>
        <v>0.43749100000000002</v>
      </c>
      <c r="E23" s="33" t="str">
        <f>'Firing Inaccuracy(Standing) Raw'!E23</f>
        <v>N/A</v>
      </c>
      <c r="F23" s="176">
        <f>'Firing Inaccuracy(Standing) Raw'!F23</f>
        <v>0</v>
      </c>
      <c r="G23" s="21">
        <f>'Firing Inaccuracy(Standing) Raw'!G23+Analysis!C23</f>
        <v>10.6</v>
      </c>
      <c r="H23" s="114">
        <f>'Firing Inaccuracy(Standing) Raw'!H23+Analysis!C23</f>
        <v>12.03085488003101</v>
      </c>
      <c r="I23" s="114">
        <f>'Firing Inaccuracy(Standing) Raw'!I23+Analysis!C23</f>
        <v>12.970004278062458</v>
      </c>
      <c r="J23" s="114">
        <f>'Firing Inaccuracy(Standing) Raw'!J23+Analysis!C23</f>
        <v>13.586420103407177</v>
      </c>
      <c r="K23" s="114">
        <f>'Firing Inaccuracy(Standing) Raw'!K23+Analysis!C23</f>
        <v>13.991007989564439</v>
      </c>
      <c r="L23" s="114">
        <f>'Firing Inaccuracy(Standing) Raw'!L23+Analysis!C23</f>
        <v>14.256561453467901</v>
      </c>
      <c r="M23" s="114">
        <f>'Firing Inaccuracy(Standing) Raw'!M23+Analysis!C23</f>
        <v>14.430858916649282</v>
      </c>
      <c r="N23" s="114">
        <f>'Firing Inaccuracy(Standing) Raw'!N23+Analysis!C23</f>
        <v>14.545260006452082</v>
      </c>
      <c r="O23" s="114">
        <f>'Firing Inaccuracy(Standing) Raw'!O23+Analysis!C23</f>
        <v>14.620347785179238</v>
      </c>
      <c r="P23" s="114">
        <f>'Firing Inaccuracy(Standing) Raw'!P23+Analysis!C23</f>
        <v>14.669632057941826</v>
      </c>
      <c r="Q23" s="114">
        <f>'Firing Inaccuracy(Standing) Raw'!Q23+Analysis!C23</f>
        <v>14.70198005894693</v>
      </c>
      <c r="R23" s="114">
        <f>'Firing Inaccuracy(Standing) Raw'!R23+Analysis!C23</f>
        <v>14.723211845688859</v>
      </c>
      <c r="S23" s="114">
        <f>'Firing Inaccuracy(Standing) Raw'!S23+Analysis!C23</f>
        <v>14.737147444620723</v>
      </c>
      <c r="T23" s="114">
        <f>'Firing Inaccuracy(Standing) Raw'!T23+Analysis!C23</f>
        <v>14.746294150922472</v>
      </c>
      <c r="U23" s="114">
        <f>'Firing Inaccuracy(Standing) Raw'!U23+Analysis!C23</f>
        <v>14.752297641449108</v>
      </c>
      <c r="V23" s="114">
        <f>'Firing Inaccuracy(Standing) Raw'!V23+Analysis!C23</f>
        <v>14.756238065172621</v>
      </c>
      <c r="W23" s="114">
        <f>'Firing Inaccuracy(Standing) Raw'!W23+Analysis!C23</f>
        <v>14.758824383757108</v>
      </c>
      <c r="X23" s="114">
        <f>'Firing Inaccuracy(Standing) Raw'!X23+Analysis!C23</f>
        <v>14.76052192805432</v>
      </c>
      <c r="Y23" s="114">
        <f>'Firing Inaccuracy(Standing) Raw'!Y23+Analysis!C23</f>
        <v>14.76163612050466</v>
      </c>
      <c r="Z23" s="114">
        <f>'Firing Inaccuracy(Standing) Raw'!Z23+Analysis!C23</f>
        <v>14.762367426791293</v>
      </c>
      <c r="AA23" s="114">
        <f>'Firing Inaccuracy(Standing) Raw'!AA23+Analysis!C23</f>
        <v>14.762847423657817</v>
      </c>
      <c r="AB23" s="114">
        <f>'Firing Inaccuracy(Standing) Raw'!AB23+Analysis!C23</f>
        <v>14.763162472216932</v>
      </c>
      <c r="AC23" s="114">
        <f>'Firing Inaccuracy(Standing) Raw'!AC23+Analysis!C23</f>
        <v>14.763369256055579</v>
      </c>
      <c r="AD23" s="114">
        <f>'Firing Inaccuracy(Standing) Raw'!AD23+Analysis!C23</f>
        <v>14.763504979754959</v>
      </c>
      <c r="AE23" s="114">
        <f>'Firing Inaccuracy(Standing) Raw'!AE23+Analysis!C23</f>
        <v>14.763594062744678</v>
      </c>
      <c r="AF23" s="114">
        <f>'Firing Inaccuracy(Standing) Raw'!AF23+Analysis!C23</f>
        <v>14.763652532850443</v>
      </c>
      <c r="AG23" s="114">
        <f>'Firing Inaccuracy(Standing) Raw'!AG23+Analysis!C23</f>
        <v>14.763690910022998</v>
      </c>
      <c r="AH23" s="114">
        <f>'Firing Inaccuracy(Standing) Raw'!AH23+Analysis!C23</f>
        <v>14.763716099089343</v>
      </c>
      <c r="AI23" s="114">
        <f>'Firing Inaccuracy(Standing) Raw'!AI23+Analysis!C23</f>
        <v>14.763732632070308</v>
      </c>
      <c r="AJ23" s="114">
        <f>'Firing Inaccuracy(Standing) Raw'!AJ23+Analysis!C23</f>
        <v>14.763743483582463</v>
      </c>
    </row>
    <row r="24" spans="1:36" ht="15.75" customHeight="1" x14ac:dyDescent="0.15">
      <c r="A24" s="35" t="s">
        <v>163</v>
      </c>
      <c r="B24" s="83">
        <f>'Firing Inaccuracy(Standing) Raw'!B24</f>
        <v>7.0000000000000007E-2</v>
      </c>
      <c r="C24" s="15">
        <f>'Firing Inaccuracy(Standing) Raw'!C24</f>
        <v>3.7</v>
      </c>
      <c r="D24" s="22">
        <f>'Firing Inaccuracy(Standing) Raw'!D24</f>
        <v>0.25789000000000001</v>
      </c>
      <c r="E24" s="33" t="str">
        <f>'Firing Inaccuracy(Standing) Raw'!E24</f>
        <v>N/A</v>
      </c>
      <c r="F24" s="176">
        <f>'Firing Inaccuracy(Standing) Raw'!F24</f>
        <v>0</v>
      </c>
      <c r="G24" s="21">
        <f>'Firing Inaccuracy(Standing) Raw'!G24+Analysis!C24</f>
        <v>9.6</v>
      </c>
      <c r="H24" s="114">
        <f>'Firing Inaccuracy(Standing) Raw'!H24+Analysis!C24</f>
        <v>11.580469539382374</v>
      </c>
      <c r="I24" s="114">
        <f>'Firing Inaccuracy(Standing) Raw'!I24+Analysis!C24</f>
        <v>12.640539700577358</v>
      </c>
      <c r="J24" s="114">
        <f>'Firing Inaccuracy(Standing) Raw'!J24+Analysis!C24</f>
        <v>13.207955015132717</v>
      </c>
      <c r="K24" s="114">
        <f>'Firing Inaccuracy(Standing) Raw'!K24+Analysis!C24</f>
        <v>13.511670892607299</v>
      </c>
      <c r="L24" s="114">
        <f>'Firing Inaccuracy(Standing) Raw'!L24+Analysis!C24</f>
        <v>13.674238472057354</v>
      </c>
      <c r="M24" s="114">
        <f>'Firing Inaccuracy(Standing) Raw'!M24+Analysis!C24</f>
        <v>13.761254725893018</v>
      </c>
      <c r="N24" s="114">
        <f>'Firing Inaccuracy(Standing) Raw'!N24+Analysis!C24</f>
        <v>13.807831223231585</v>
      </c>
      <c r="O24" s="114">
        <f>'Firing Inaccuracy(Standing) Raw'!O24+Analysis!C24</f>
        <v>13.8327618541046</v>
      </c>
      <c r="P24" s="114">
        <f>'Firing Inaccuracy(Standing) Raw'!P24+Analysis!C24</f>
        <v>13.846106274386113</v>
      </c>
      <c r="Q24" s="114">
        <f>'Firing Inaccuracy(Standing) Raw'!Q24+Analysis!C24</f>
        <v>13.85324903597753</v>
      </c>
      <c r="R24" s="114">
        <f>'Firing Inaccuracy(Standing) Raw'!R24+Analysis!C24</f>
        <v>13.857072285101552</v>
      </c>
      <c r="S24" s="114">
        <f>'Firing Inaccuracy(Standing) Raw'!S24+Analysis!C24</f>
        <v>13.859118725218197</v>
      </c>
      <c r="T24" s="114">
        <f>'Firing Inaccuracy(Standing) Raw'!T24+Analysis!C24</f>
        <v>13.860214106925005</v>
      </c>
      <c r="U24" s="114">
        <f>'Firing Inaccuracy(Standing) Raw'!U24+Analysis!C24</f>
        <v>13.860800423169419</v>
      </c>
      <c r="V24" s="114">
        <f>'Firing Inaccuracy(Standing) Raw'!V24+Analysis!C24</f>
        <v>13.861114255997123</v>
      </c>
      <c r="W24" s="114">
        <f>'Firing Inaccuracy(Standing) Raw'!W24+Analysis!C24</f>
        <v>13.861282238795969</v>
      </c>
      <c r="X24" s="114">
        <f>'Firing Inaccuracy(Standing) Raw'!X24+Analysis!C24</f>
        <v>13.861372153611171</v>
      </c>
      <c r="Y24" s="114">
        <f>'Firing Inaccuracy(Standing) Raw'!Y24+Analysis!C24</f>
        <v>13.861420281598374</v>
      </c>
      <c r="Z24" s="114">
        <f>'Firing Inaccuracy(Standing) Raw'!Z24+Analysis!C24</f>
        <v>13.861446042682873</v>
      </c>
      <c r="AA24" s="114">
        <f>'Firing Inaccuracy(Standing) Raw'!AA24+Analysis!C24</f>
        <v>13.861459831613455</v>
      </c>
      <c r="AB24" s="114">
        <f>'Firing Inaccuracy(Standing) Raw'!AB24+Analysis!C24</f>
        <v>13.861467212304536</v>
      </c>
      <c r="AC24" s="114">
        <f>'Firing Inaccuracy(Standing) Raw'!AC24+Analysis!C24</f>
        <v>13.861471162908282</v>
      </c>
      <c r="AD24" s="114">
        <f>'Firing Inaccuracy(Standing) Raw'!AD24+Analysis!C24</f>
        <v>13.861473277516495</v>
      </c>
      <c r="AE24" s="114">
        <f>'Firing Inaccuracy(Standing) Raw'!AE24+Analysis!C24</f>
        <v>13.861474409385995</v>
      </c>
      <c r="AF24" s="114">
        <f>'Firing Inaccuracy(Standing) Raw'!AF24+Analysis!C24</f>
        <v>13.86147501523277</v>
      </c>
      <c r="AG24" s="114">
        <f>'Firing Inaccuracy(Standing) Raw'!AG24+Analysis!C24</f>
        <v>13.861475339519549</v>
      </c>
      <c r="AH24" s="114">
        <f>'Firing Inaccuracy(Standing) Raw'!AH24+Analysis!C24</f>
        <v>13.86147551309795</v>
      </c>
      <c r="AI24" s="114">
        <f>'Firing Inaccuracy(Standing) Raw'!AI24+Analysis!C24</f>
        <v>13.861475606007881</v>
      </c>
      <c r="AJ24" s="114">
        <f>'Firing Inaccuracy(Standing) Raw'!AJ24+Analysis!C24</f>
        <v>13.861475655739039</v>
      </c>
    </row>
    <row r="25" spans="1:36" ht="15.75" customHeight="1" x14ac:dyDescent="0.15">
      <c r="A25" s="9" t="s">
        <v>164</v>
      </c>
      <c r="B25" s="83">
        <f>'Firing Inaccuracy(Standing) Raw'!B25</f>
        <v>7.0000000000000007E-2</v>
      </c>
      <c r="C25" s="15">
        <f>'Firing Inaccuracy(Standing) Raw'!C25</f>
        <v>2.85</v>
      </c>
      <c r="D25" s="22">
        <f>'Firing Inaccuracy(Standing) Raw'!D25</f>
        <v>0.37209799999999998</v>
      </c>
      <c r="E25" s="33" t="str">
        <f>'Firing Inaccuracy(Standing) Raw'!E25</f>
        <v>N/A</v>
      </c>
      <c r="F25" s="176">
        <f>'Firing Inaccuracy(Standing) Raw'!F25</f>
        <v>0</v>
      </c>
      <c r="G25" s="21">
        <f>'Firing Inaccuracy(Standing) Raw'!G25+Analysis!C25</f>
        <v>14.65</v>
      </c>
      <c r="H25" s="114">
        <f>'Firing Inaccuracy(Standing) Raw'!H25+Analysis!C25</f>
        <v>16.498086847070763</v>
      </c>
      <c r="I25" s="114">
        <f>'Firing Inaccuracy(Standing) Raw'!I25+Analysis!C25</f>
        <v>17.696481581918462</v>
      </c>
      <c r="J25" s="114">
        <f>'Firing Inaccuracy(Standing) Raw'!J25+Analysis!C25</f>
        <v>18.473582475627548</v>
      </c>
      <c r="K25" s="114">
        <f>'Firing Inaccuracy(Standing) Raw'!K25+Analysis!C25</f>
        <v>18.977494735455863</v>
      </c>
      <c r="L25" s="114">
        <f>'Firing Inaccuracy(Standing) Raw'!L25+Analysis!C25</f>
        <v>19.304257408952846</v>
      </c>
      <c r="M25" s="114">
        <f>'Firing Inaccuracy(Standing) Raw'!M25+Analysis!C25</f>
        <v>19.516147162989149</v>
      </c>
      <c r="N25" s="114">
        <f>'Firing Inaccuracy(Standing) Raw'!N25+Analysis!C25</f>
        <v>19.653547397186884</v>
      </c>
      <c r="O25" s="114">
        <f>'Firing Inaccuracy(Standing) Raw'!O25+Analysis!C25</f>
        <v>19.742644788627334</v>
      </c>
      <c r="P25" s="114">
        <f>'Firing Inaccuracy(Standing) Raw'!P25+Analysis!C25</f>
        <v>19.800420128006074</v>
      </c>
      <c r="Q25" s="114">
        <f>'Firing Inaccuracy(Standing) Raw'!Q25+Analysis!C25</f>
        <v>19.83788463495025</v>
      </c>
      <c r="R25" s="114">
        <f>'Firing Inaccuracy(Standing) Raw'!R25+Analysis!C25</f>
        <v>19.86217855162236</v>
      </c>
      <c r="S25" s="114">
        <f>'Firing Inaccuracy(Standing) Raw'!S25+Analysis!C25</f>
        <v>19.877931978943611</v>
      </c>
      <c r="T25" s="114">
        <f>'Firing Inaccuracy(Standing) Raw'!T25+Analysis!C25</f>
        <v>19.888147312918591</v>
      </c>
      <c r="U25" s="114">
        <f>'Firing Inaccuracy(Standing) Raw'!U25+Analysis!C25</f>
        <v>19.894771461815989</v>
      </c>
      <c r="V25" s="114">
        <f>'Firing Inaccuracy(Standing) Raw'!V25+Analysis!C25</f>
        <v>19.899066901272242</v>
      </c>
      <c r="W25" s="114">
        <f>'Firing Inaccuracy(Standing) Raw'!W25+Analysis!C25</f>
        <v>19.901852285539434</v>
      </c>
      <c r="X25" s="114">
        <f>'Firing Inaccuracy(Standing) Raw'!X25+Analysis!C25</f>
        <v>19.903658472216009</v>
      </c>
      <c r="Y25" s="114">
        <f>'Firing Inaccuracy(Standing) Raw'!Y25+Analysis!C25</f>
        <v>19.904829696721386</v>
      </c>
      <c r="Z25" s="114">
        <f>'Firing Inaccuracy(Standing) Raw'!Z25+Analysis!C25</f>
        <v>19.905589179038351</v>
      </c>
      <c r="AA25" s="114">
        <f>'Firing Inaccuracy(Standing) Raw'!AA25+Analysis!C25</f>
        <v>19.906081666505219</v>
      </c>
      <c r="AB25" s="114">
        <f>'Firing Inaccuracy(Standing) Raw'!AB25+Analysis!C25</f>
        <v>19.906401020754295</v>
      </c>
      <c r="AC25" s="114">
        <f>'Firing Inaccuracy(Standing) Raw'!AC25+Analysis!C25</f>
        <v>19.906608106504216</v>
      </c>
      <c r="AD25" s="114">
        <f>'Firing Inaccuracy(Standing) Raw'!AD25+Analysis!C25</f>
        <v>19.906742391574618</v>
      </c>
      <c r="AE25" s="114">
        <f>'Firing Inaccuracy(Standing) Raw'!AE25+Analysis!C25</f>
        <v>19.906829468933338</v>
      </c>
      <c r="AF25" s="114">
        <f>'Firing Inaccuracy(Standing) Raw'!AF25+Analysis!C25</f>
        <v>19.906885934379424</v>
      </c>
      <c r="AG25" s="114">
        <f>'Firing Inaccuracy(Standing) Raw'!AG25+Analysis!C25</f>
        <v>19.906922549484062</v>
      </c>
      <c r="AH25" s="114">
        <f>'Firing Inaccuracy(Standing) Raw'!AH25+Analysis!C25</f>
        <v>19.906946292604516</v>
      </c>
      <c r="AI25" s="114">
        <f>'Firing Inaccuracy(Standing) Raw'!AI25+Analysis!C25</f>
        <v>19.906961688867185</v>
      </c>
      <c r="AJ25" s="114">
        <f>'Firing Inaccuracy(Standing) Raw'!AJ25+Analysis!C25</f>
        <v>19.906971672597198</v>
      </c>
    </row>
    <row r="26" spans="1:36" ht="15.75" customHeight="1" x14ac:dyDescent="0.15">
      <c r="A26" s="9" t="s">
        <v>165</v>
      </c>
      <c r="B26" s="83">
        <f>'Firing Inaccuracy(Standing) Raw'!B26</f>
        <v>0.09</v>
      </c>
      <c r="C26" s="15">
        <f>'Firing Inaccuracy(Standing) Raw'!C26</f>
        <v>3.42</v>
      </c>
      <c r="D26" s="22">
        <f>'Firing Inaccuracy(Standing) Raw'!D26</f>
        <v>0.349993</v>
      </c>
      <c r="E26" s="33" t="str">
        <f>'Firing Inaccuracy(Standing) Raw'!E26</f>
        <v>N/A</v>
      </c>
      <c r="F26" s="176">
        <f>'Firing Inaccuracy(Standing) Raw'!F26</f>
        <v>0</v>
      </c>
      <c r="G26" s="21">
        <f>'Firing Inaccuracy(Standing) Raw'!G26+Analysis!C26</f>
        <v>14.43</v>
      </c>
      <c r="H26" s="114">
        <f>'Firing Inaccuracy(Standing) Raw'!H26+Analysis!C26</f>
        <v>16.321812566413108</v>
      </c>
      <c r="I26" s="114">
        <f>'Firing Inaccuracy(Standing) Raw'!I26+Analysis!C26</f>
        <v>17.368290574143678</v>
      </c>
      <c r="J26" s="114">
        <f>'Firing Inaccuracy(Standing) Raw'!J26+Analysis!C26</f>
        <v>17.947161990956442</v>
      </c>
      <c r="K26" s="114">
        <f>'Firing Inaccuracy(Standing) Raw'!K26+Analysis!C26</f>
        <v>18.267371412203151</v>
      </c>
      <c r="L26" s="114">
        <f>'Firing Inaccuracy(Standing) Raw'!L26+Analysis!C26</f>
        <v>18.444498958109111</v>
      </c>
      <c r="M26" s="114">
        <f>'Firing Inaccuracy(Standing) Raw'!M26+Analysis!C26</f>
        <v>18.542479109338004</v>
      </c>
      <c r="N26" s="114">
        <f>'Firing Inaccuracy(Standing) Raw'!N26+Analysis!C26</f>
        <v>18.596677963535043</v>
      </c>
      <c r="O26" s="114">
        <f>'Firing Inaccuracy(Standing) Raw'!O26+Analysis!C26</f>
        <v>18.626658686767545</v>
      </c>
      <c r="P26" s="114">
        <f>'Firing Inaccuracy(Standing) Raw'!P26+Analysis!C26</f>
        <v>18.643242870674388</v>
      </c>
      <c r="Q26" s="114">
        <f>'Firing Inaccuracy(Standing) Raw'!Q26+Analysis!C26</f>
        <v>18.652416603866982</v>
      </c>
      <c r="R26" s="114">
        <f>'Firing Inaccuracy(Standing) Raw'!R26+Analysis!C26</f>
        <v>18.657491160514546</v>
      </c>
      <c r="S26" s="114">
        <f>'Firing Inaccuracy(Standing) Raw'!S26+Analysis!C26</f>
        <v>18.660298210232334</v>
      </c>
      <c r="T26" s="114">
        <f>'Firing Inaccuracy(Standing) Raw'!T26+Analysis!C26</f>
        <v>18.661850962258843</v>
      </c>
      <c r="U26" s="114">
        <f>'Firing Inaccuracy(Standing) Raw'!U26+Analysis!C26</f>
        <v>18.66270988500629</v>
      </c>
      <c r="V26" s="114">
        <f>'Firing Inaccuracy(Standing) Raw'!V26+Analysis!C26</f>
        <v>18.663185008061028</v>
      </c>
      <c r="W26" s="114">
        <f>'Firing Inaccuracy(Standing) Raw'!W26+Analysis!C26</f>
        <v>18.663447827875512</v>
      </c>
      <c r="X26" s="114">
        <f>'Firing Inaccuracy(Standing) Raw'!X26+Analysis!C26</f>
        <v>18.663593209696494</v>
      </c>
      <c r="Y26" s="114">
        <f>'Firing Inaccuracy(Standing) Raw'!Y26+Analysis!C26</f>
        <v>18.663673629332706</v>
      </c>
      <c r="Z26" s="114">
        <f>'Firing Inaccuracy(Standing) Raw'!Z26+Analysis!C26</f>
        <v>18.663718114384864</v>
      </c>
      <c r="AA26" s="114">
        <f>'Firing Inaccuracy(Standing) Raw'!AA26+Analysis!C26</f>
        <v>18.66374272180612</v>
      </c>
      <c r="AB26" s="114">
        <f>'Firing Inaccuracy(Standing) Raw'!AB26+Analysis!C26</f>
        <v>18.663756333685871</v>
      </c>
      <c r="AC26" s="114">
        <f>'Firing Inaccuracy(Standing) Raw'!AC26+Analysis!C26</f>
        <v>18.663763863254637</v>
      </c>
      <c r="AD26" s="114">
        <f>'Firing Inaccuracy(Standing) Raw'!AD26+Analysis!C26</f>
        <v>18.663768028322707</v>
      </c>
      <c r="AE26" s="114">
        <f>'Firing Inaccuracy(Standing) Raw'!AE26+Analysis!C26</f>
        <v>18.663770332278297</v>
      </c>
      <c r="AF26" s="114"/>
      <c r="AG26" s="114"/>
      <c r="AH26" s="114"/>
      <c r="AI26" s="114"/>
      <c r="AJ26" s="114"/>
    </row>
    <row r="27" spans="1:36" ht="15.75" customHeight="1" x14ac:dyDescent="0.15">
      <c r="A27" s="39"/>
      <c r="B27" s="101">
        <f>'Firing Inaccuracy(Standing) Raw'!B27</f>
        <v>0</v>
      </c>
      <c r="C27" s="41">
        <f>'Firing Inaccuracy(Standing) Raw'!C27</f>
        <v>0</v>
      </c>
      <c r="D27" s="178">
        <f>'Firing Inaccuracy(Standing) Raw'!D27</f>
        <v>0</v>
      </c>
      <c r="E27" s="178">
        <f>'Firing Inaccuracy(Standing) Raw'!E27</f>
        <v>0</v>
      </c>
      <c r="F27" s="179">
        <f>'Firing Inaccuracy(Standing) Raw'!F27</f>
        <v>0</v>
      </c>
      <c r="G27" s="41">
        <f>'Firing Inaccuracy(Standing) Raw'!G27</f>
        <v>0</v>
      </c>
      <c r="H27" s="41">
        <f>'Firing Inaccuracy(Standing) Raw'!H27</f>
        <v>0</v>
      </c>
      <c r="I27" s="41">
        <f>'Firing Inaccuracy(Standing) Raw'!I27</f>
        <v>0</v>
      </c>
      <c r="J27" s="15">
        <f>'Firing Inaccuracy(Standing) Raw'!J27</f>
        <v>0</v>
      </c>
      <c r="K27" s="41">
        <f>'Firing Inaccuracy(Standing) Raw'!K27</f>
        <v>0</v>
      </c>
      <c r="L27" s="41">
        <f>'Firing Inaccuracy(Standing) Raw'!L27</f>
        <v>0</v>
      </c>
      <c r="M27" s="41">
        <f>'Firing Inaccuracy(Standing) Raw'!M27</f>
        <v>0</v>
      </c>
      <c r="N27" s="41">
        <f>'Firing Inaccuracy(Standing) Raw'!N27</f>
        <v>0</v>
      </c>
      <c r="O27" s="41">
        <f>'Firing Inaccuracy(Standing) Raw'!O27</f>
        <v>0</v>
      </c>
      <c r="P27" s="41">
        <f>'Firing Inaccuracy(Standing) Raw'!P27</f>
        <v>0</v>
      </c>
      <c r="Q27" s="41">
        <f>'Firing Inaccuracy(Standing) Raw'!Q27</f>
        <v>0</v>
      </c>
      <c r="R27" s="41">
        <f>'Firing Inaccuracy(Standing) Raw'!R27</f>
        <v>0</v>
      </c>
      <c r="S27" s="41">
        <f>'Firing Inaccuracy(Standing) Raw'!S27</f>
        <v>0</v>
      </c>
      <c r="T27" s="41">
        <f>'Firing Inaccuracy(Standing) Raw'!T27</f>
        <v>0</v>
      </c>
      <c r="U27" s="41">
        <f>'Firing Inaccuracy(Standing) Raw'!U27</f>
        <v>0</v>
      </c>
      <c r="V27" s="41">
        <f>'Firing Inaccuracy(Standing) Raw'!V27</f>
        <v>0</v>
      </c>
      <c r="W27" s="41">
        <f>'Firing Inaccuracy(Standing) Raw'!W27</f>
        <v>0</v>
      </c>
      <c r="X27" s="41">
        <f>'Firing Inaccuracy(Standing) Raw'!X27</f>
        <v>0</v>
      </c>
      <c r="Y27" s="41">
        <f>'Firing Inaccuracy(Standing) Raw'!Y27</f>
        <v>0</v>
      </c>
      <c r="Z27" s="41">
        <f>'Firing Inaccuracy(Standing) Raw'!Z27</f>
        <v>0</v>
      </c>
      <c r="AA27" s="41">
        <f>'Firing Inaccuracy(Standing) Raw'!AA27</f>
        <v>0</v>
      </c>
      <c r="AB27" s="41">
        <f>'Firing Inaccuracy(Standing) Raw'!AB27</f>
        <v>0</v>
      </c>
      <c r="AC27" s="41">
        <f>'Firing Inaccuracy(Standing) Raw'!AC27</f>
        <v>0</v>
      </c>
      <c r="AD27" s="41">
        <f>'Firing Inaccuracy(Standing) Raw'!AD27</f>
        <v>0</v>
      </c>
      <c r="AE27" s="41">
        <f>'Firing Inaccuracy(Standing) Raw'!AE27</f>
        <v>0</v>
      </c>
      <c r="AF27" s="41">
        <f>'Firing Inaccuracy(Standing) Raw'!AF27</f>
        <v>0</v>
      </c>
      <c r="AG27" s="41">
        <f>'Firing Inaccuracy(Standing) Raw'!AG27</f>
        <v>0</v>
      </c>
      <c r="AH27" s="41">
        <f>'Firing Inaccuracy(Standing) Raw'!AH27</f>
        <v>0</v>
      </c>
      <c r="AI27" s="41">
        <f>'Firing Inaccuracy(Standing) Raw'!AI27</f>
        <v>0</v>
      </c>
      <c r="AJ27" s="41">
        <f>'Firing Inaccuracy(Standing) Raw'!AJ27</f>
        <v>0</v>
      </c>
    </row>
    <row r="28" spans="1:36" ht="15.75" customHeight="1" x14ac:dyDescent="0.15">
      <c r="A28" s="1" t="s">
        <v>68</v>
      </c>
      <c r="B28" s="69" t="str">
        <f>'Firing Inaccuracy(Standing) Raw'!B28</f>
        <v>CycleTime</v>
      </c>
      <c r="C28" s="4" t="str">
        <f>'Firing Inaccuracy(Standing) Raw'!C28</f>
        <v>Inaccuracy
Fire</v>
      </c>
      <c r="D28" s="7" t="str">
        <f>'Firing Inaccuracy(Standing) Raw'!D28</f>
        <v>Recovery
TimeStand</v>
      </c>
      <c r="E28" s="7" t="str">
        <f>'Firing Inaccuracy(Standing) Raw'!E28</f>
        <v>RecoveryTime
StandFinal</v>
      </c>
      <c r="F28" s="174">
        <f>'Firing Inaccuracy(Standing) Raw'!F28</f>
        <v>0</v>
      </c>
      <c r="G28" s="175">
        <f>'Firing Inaccuracy(Standing) Raw'!G28</f>
        <v>1</v>
      </c>
      <c r="H28" s="175">
        <f>'Firing Inaccuracy(Standing) Raw'!H28</f>
        <v>2</v>
      </c>
      <c r="I28" s="175">
        <f>'Firing Inaccuracy(Standing) Raw'!I28</f>
        <v>3</v>
      </c>
      <c r="J28" s="175">
        <f>'Firing Inaccuracy(Standing) Raw'!J28</f>
        <v>4</v>
      </c>
      <c r="K28" s="175">
        <f>'Firing Inaccuracy(Standing) Raw'!K28</f>
        <v>5</v>
      </c>
      <c r="L28" s="175">
        <f>'Firing Inaccuracy(Standing) Raw'!L28</f>
        <v>6</v>
      </c>
      <c r="M28" s="175">
        <f>'Firing Inaccuracy(Standing) Raw'!M28</f>
        <v>7</v>
      </c>
      <c r="N28" s="175">
        <f>'Firing Inaccuracy(Standing) Raw'!N28</f>
        <v>8</v>
      </c>
      <c r="O28" s="175">
        <f>'Firing Inaccuracy(Standing) Raw'!O28</f>
        <v>9</v>
      </c>
      <c r="P28" s="175">
        <f>'Firing Inaccuracy(Standing) Raw'!P28</f>
        <v>10</v>
      </c>
      <c r="Q28" s="175">
        <f>'Firing Inaccuracy(Standing) Raw'!Q28</f>
        <v>11</v>
      </c>
      <c r="R28" s="175">
        <f>'Firing Inaccuracy(Standing) Raw'!R28</f>
        <v>12</v>
      </c>
      <c r="S28" s="175">
        <f>'Firing Inaccuracy(Standing) Raw'!S28</f>
        <v>13</v>
      </c>
      <c r="T28" s="175">
        <f>'Firing Inaccuracy(Standing) Raw'!T28</f>
        <v>14</v>
      </c>
      <c r="U28" s="175">
        <f>'Firing Inaccuracy(Standing) Raw'!U28</f>
        <v>15</v>
      </c>
      <c r="V28" s="175">
        <f>'Firing Inaccuracy(Standing) Raw'!V28</f>
        <v>16</v>
      </c>
      <c r="W28" s="175">
        <f>'Firing Inaccuracy(Standing) Raw'!W28</f>
        <v>17</v>
      </c>
      <c r="X28" s="175">
        <f>'Firing Inaccuracy(Standing) Raw'!X28</f>
        <v>18</v>
      </c>
      <c r="Y28" s="175">
        <f>'Firing Inaccuracy(Standing) Raw'!Y28</f>
        <v>19</v>
      </c>
      <c r="Z28" s="175">
        <f>'Firing Inaccuracy(Standing) Raw'!Z28</f>
        <v>20</v>
      </c>
      <c r="AA28" s="175">
        <f>'Firing Inaccuracy(Standing) Raw'!AA28</f>
        <v>21</v>
      </c>
      <c r="AB28" s="175">
        <f>'Firing Inaccuracy(Standing) Raw'!AB28</f>
        <v>22</v>
      </c>
      <c r="AC28" s="175">
        <f>'Firing Inaccuracy(Standing) Raw'!AC28</f>
        <v>23</v>
      </c>
      <c r="AD28" s="175">
        <f>'Firing Inaccuracy(Standing) Raw'!AD28</f>
        <v>24</v>
      </c>
      <c r="AE28" s="175">
        <f>'Firing Inaccuracy(Standing) Raw'!AE28</f>
        <v>25</v>
      </c>
      <c r="AF28" s="175">
        <f>'Firing Inaccuracy(Standing) Raw'!AF28</f>
        <v>26</v>
      </c>
      <c r="AG28" s="175">
        <f>'Firing Inaccuracy(Standing) Raw'!AG28</f>
        <v>27</v>
      </c>
      <c r="AH28" s="175">
        <f>'Firing Inaccuracy(Standing) Raw'!AH28</f>
        <v>28</v>
      </c>
      <c r="AI28" s="175">
        <f>'Firing Inaccuracy(Standing) Raw'!AI28</f>
        <v>29</v>
      </c>
      <c r="AJ28" s="175">
        <f>'Firing Inaccuracy(Standing) Raw'!AJ28</f>
        <v>30</v>
      </c>
    </row>
    <row r="29" spans="1:36" ht="15.75" customHeight="1" x14ac:dyDescent="0.15">
      <c r="A29" s="36" t="s">
        <v>166</v>
      </c>
      <c r="B29" s="83">
        <f>'Firing Inaccuracy(Standing) Raw'!B29</f>
        <v>0.1</v>
      </c>
      <c r="C29" s="15">
        <f>'Firing Inaccuracy(Standing) Raw'!C29</f>
        <v>7.8</v>
      </c>
      <c r="D29" s="22">
        <f>'Firing Inaccuracy(Standing) Raw'!D29</f>
        <v>0.36799999999999999</v>
      </c>
      <c r="E29" s="22">
        <f>'Firing Inaccuracy(Standing) Raw'!E29</f>
        <v>0.50600000000000001</v>
      </c>
      <c r="F29" s="176">
        <f>'Firing Inaccuracy(Standing) Raw'!F29</f>
        <v>0</v>
      </c>
      <c r="G29" s="21">
        <f>'Firing Inaccuracy(Standing) Raw'!G29+Analysis!C29</f>
        <v>7.01</v>
      </c>
      <c r="H29" s="114">
        <f>'Firing Inaccuracy(Standing) Raw'!H29+Analysis!C29</f>
        <v>11.182107328728616</v>
      </c>
      <c r="I29" s="114">
        <f>'Firing Inaccuracy(Standing) Raw'!I29+Analysis!C29</f>
        <v>13.413707272630031</v>
      </c>
      <c r="J29" s="114">
        <f>'Firing Inaccuracy(Standing) Raw'!J29+Analysis!C29</f>
        <v>15.154338570292662</v>
      </c>
      <c r="K29" s="114">
        <f>'Firing Inaccuracy(Standing) Raw'!K29+Analysis!C29</f>
        <v>16.675296993124164</v>
      </c>
      <c r="L29" s="114">
        <f>'Firing Inaccuracy(Standing) Raw'!L29+Analysis!C29</f>
        <v>18.090197883385969</v>
      </c>
      <c r="M29" s="114">
        <f>'Firing Inaccuracy(Standing) Raw'!M29+Analysis!C29</f>
        <v>18.987828301903999</v>
      </c>
      <c r="N29" s="114">
        <f>'Firing Inaccuracy(Standing) Raw'!N29+Analysis!C29</f>
        <v>19.557296010769292</v>
      </c>
      <c r="O29" s="114">
        <f>'Firing Inaccuracy(Standing) Raw'!O29+Analysis!C29</f>
        <v>19.918573285636704</v>
      </c>
      <c r="P29" s="114">
        <f>'Firing Inaccuracy(Standing) Raw'!P29+Analysis!C29</f>
        <v>20.14777200455212</v>
      </c>
      <c r="Q29" s="114">
        <f>'Firing Inaccuracy(Standing) Raw'!Q29+Analysis!C29</f>
        <v>20.29317847323119</v>
      </c>
      <c r="R29" s="114">
        <f>'Firing Inaccuracy(Standing) Raw'!R29+Analysis!C29</f>
        <v>20.385426114203042</v>
      </c>
      <c r="S29" s="114">
        <f>'Firing Inaccuracy(Standing) Raw'!S29+Analysis!C29</f>
        <v>20.443949145139534</v>
      </c>
      <c r="T29" s="114">
        <f>'Firing Inaccuracy(Standing) Raw'!T29+Analysis!C29</f>
        <v>20.481076871267938</v>
      </c>
      <c r="U29" s="114">
        <f>'Firing Inaccuracy(Standing) Raw'!U29+Analysis!C29</f>
        <v>20.504631154520307</v>
      </c>
      <c r="V29" s="114">
        <f>'Firing Inaccuracy(Standing) Raw'!V29+Analysis!C29</f>
        <v>20.519574279709666</v>
      </c>
      <c r="W29" s="114">
        <f>'Firing Inaccuracy(Standing) Raw'!W29+Analysis!C29</f>
        <v>20.529054380973299</v>
      </c>
      <c r="X29" s="114">
        <f>'Firing Inaccuracy(Standing) Raw'!X29+Analysis!C29</f>
        <v>20.535068673086229</v>
      </c>
      <c r="Y29" s="114">
        <f>'Firing Inaccuracy(Standing) Raw'!Y29+Analysis!C29</f>
        <v>20.538884213512819</v>
      </c>
      <c r="Z29" s="114">
        <f>'Firing Inaccuracy(Standing) Raw'!Z29+Analysis!C29</f>
        <v>20.541304838995188</v>
      </c>
      <c r="AA29" s="114">
        <f>'Firing Inaccuracy(Standing) Raw'!AA29+Analysis!C29</f>
        <v>20.542840513387485</v>
      </c>
      <c r="AB29" s="114">
        <f>'Firing Inaccuracy(Standing) Raw'!AB29+Analysis!C29</f>
        <v>20.543814763991858</v>
      </c>
      <c r="AC29" s="114">
        <f>'Firing Inaccuracy(Standing) Raw'!AC29+Analysis!C29</f>
        <v>20.544432840483125</v>
      </c>
      <c r="AD29" s="114">
        <f>'Firing Inaccuracy(Standing) Raw'!AD29+Analysis!C29</f>
        <v>20.544824955763673</v>
      </c>
      <c r="AE29" s="114">
        <f>'Firing Inaccuracy(Standing) Raw'!AE29+Analysis!C29</f>
        <v>20.545073718490311</v>
      </c>
      <c r="AF29" s="114">
        <f>'Firing Inaccuracy(Standing) Raw'!AF29+Analysis!C29</f>
        <v>20.545231536604611</v>
      </c>
      <c r="AG29" s="114">
        <f>'Firing Inaccuracy(Standing) Raw'!AG29+Analysis!C29</f>
        <v>20.545331658345269</v>
      </c>
      <c r="AH29" s="114">
        <f>'Firing Inaccuracy(Standing) Raw'!AH29+Analysis!C29</f>
        <v>20.545395176801293</v>
      </c>
      <c r="AI29" s="114">
        <f>'Firing Inaccuracy(Standing) Raw'!AI29+Analysis!C29</f>
        <v>20.545435473686148</v>
      </c>
      <c r="AJ29" s="114">
        <f>'Firing Inaccuracy(Standing) Raw'!AJ29+Analysis!C29</f>
        <v>20.545461038522433</v>
      </c>
    </row>
    <row r="30" spans="1:36" ht="15.75" customHeight="1" x14ac:dyDescent="0.15">
      <c r="A30" s="35" t="s">
        <v>168</v>
      </c>
      <c r="B30" s="83">
        <f>'Firing Inaccuracy(Standing) Raw'!B30</f>
        <v>0.1</v>
      </c>
      <c r="C30" s="15">
        <f>'Firing Inaccuracy(Standing) Raw'!C30</f>
        <v>7.29</v>
      </c>
      <c r="D30" s="22">
        <f>'Firing Inaccuracy(Standing) Raw'!D30</f>
        <v>0.42972700000000003</v>
      </c>
      <c r="E30" s="33" t="str">
        <f>'Firing Inaccuracy(Standing) Raw'!E30</f>
        <v>N/A</v>
      </c>
      <c r="F30" s="176">
        <f>'Firing Inaccuracy(Standing) Raw'!F30</f>
        <v>0</v>
      </c>
      <c r="G30" s="21">
        <f>'Firing Inaccuracy(Standing) Raw'!G30+Analysis!C30</f>
        <v>5.4</v>
      </c>
      <c r="H30" s="114">
        <f>'Firing Inaccuracy(Standing) Raw'!H30+Analysis!C30</f>
        <v>9.6660078238332332</v>
      </c>
      <c r="I30" s="114">
        <f>'Firing Inaccuracy(Standing) Raw'!I30+Analysis!C30</f>
        <v>12.162416980624229</v>
      </c>
      <c r="J30" s="114">
        <f>'Firing Inaccuracy(Standing) Raw'!J30+Analysis!C30</f>
        <v>13.623281314555546</v>
      </c>
      <c r="K30" s="114">
        <f>'Firing Inaccuracy(Standing) Raw'!K30+Analysis!C30</f>
        <v>14.478159048178307</v>
      </c>
      <c r="L30" s="114">
        <f>'Firing Inaccuracy(Standing) Raw'!L30+Analysis!C30</f>
        <v>14.978421750517883</v>
      </c>
      <c r="M30" s="114">
        <f>'Firing Inaccuracy(Standing) Raw'!M30+Analysis!C30</f>
        <v>15.271168609523727</v>
      </c>
      <c r="N30" s="114">
        <f>'Firing Inaccuracy(Standing) Raw'!N30+Analysis!C30</f>
        <v>15.442480048607614</v>
      </c>
      <c r="O30" s="114">
        <f>'Firing Inaccuracy(Standing) Raw'!O30+Analysis!C30</f>
        <v>15.542729148668517</v>
      </c>
      <c r="P30" s="114">
        <f>'Firing Inaccuracy(Standing) Raw'!P30+Analysis!C30</f>
        <v>15.601393544442463</v>
      </c>
      <c r="Q30" s="114">
        <f>'Firing Inaccuracy(Standing) Raw'!Q30+Analysis!C30</f>
        <v>15.635723142707496</v>
      </c>
      <c r="R30" s="114">
        <f>'Firing Inaccuracy(Standing) Raw'!R30+Analysis!C30</f>
        <v>15.655812351869043</v>
      </c>
      <c r="S30" s="114">
        <f>'Firing Inaccuracy(Standing) Raw'!S30+Analysis!C30</f>
        <v>15.667568281012771</v>
      </c>
      <c r="T30" s="114">
        <f>'Firing Inaccuracy(Standing) Raw'!T30+Analysis!C30</f>
        <v>15.674447689202562</v>
      </c>
      <c r="U30" s="114">
        <f>'Firing Inaccuracy(Standing) Raw'!U30+Analysis!C30</f>
        <v>15.678473424341245</v>
      </c>
      <c r="V30" s="114">
        <f>'Firing Inaccuracy(Standing) Raw'!V30+Analysis!C30</f>
        <v>15.680829229224415</v>
      </c>
      <c r="W30" s="114">
        <f>'Firing Inaccuracy(Standing) Raw'!W30+Analysis!C30</f>
        <v>15.682207813869548</v>
      </c>
      <c r="X30" s="114">
        <f>'Firing Inaccuracy(Standing) Raw'!X30+Analysis!C30</f>
        <v>15.683014542659938</v>
      </c>
      <c r="Y30" s="114">
        <f>'Firing Inaccuracy(Standing) Raw'!Y30+Analysis!C30</f>
        <v>15.683486629262342</v>
      </c>
      <c r="Z30" s="114">
        <f>'Firing Inaccuracy(Standing) Raw'!Z30+Analysis!C30</f>
        <v>15.683762887854849</v>
      </c>
      <c r="AA30" s="114">
        <f>'Firing Inaccuracy(Standing) Raw'!AA30+Analysis!C30</f>
        <v>15.683924550586953</v>
      </c>
      <c r="AB30" s="114">
        <f>'Firing Inaccuracy(Standing) Raw'!AB30+Analysis!C30</f>
        <v>15.684019153396278</v>
      </c>
      <c r="AC30" s="114">
        <f>'Firing Inaccuracy(Standing) Raw'!AC30+Analysis!C30</f>
        <v>15.684074513660303</v>
      </c>
      <c r="AD30" s="114">
        <f>'Firing Inaccuracy(Standing) Raw'!AD30+Analysis!C30</f>
        <v>15.684106909726072</v>
      </c>
      <c r="AE30" s="114">
        <f>'Firing Inaccuracy(Standing) Raw'!AE30+Analysis!C30</f>
        <v>15.684125867458588</v>
      </c>
      <c r="AF30" s="114">
        <f>'Firing Inaccuracy(Standing) Raw'!AF30+Analysis!C30</f>
        <v>15.684136961263146</v>
      </c>
      <c r="AG30" s="114">
        <f>'Firing Inaccuracy(Standing) Raw'!AG30+Analysis!C30</f>
        <v>15.684143453205127</v>
      </c>
      <c r="AH30" s="114">
        <f>'Firing Inaccuracy(Standing) Raw'!AH30+Analysis!C30</f>
        <v>15.684147252200365</v>
      </c>
      <c r="AI30" s="114">
        <f>'Firing Inaccuracy(Standing) Raw'!AI30+Analysis!C30</f>
        <v>15.684149475320174</v>
      </c>
      <c r="AJ30" s="114">
        <f>'Firing Inaccuracy(Standing) Raw'!AJ30+Analysis!C30</f>
        <v>15.684150776259337</v>
      </c>
    </row>
    <row r="31" spans="1:36" ht="15.75" customHeight="1" x14ac:dyDescent="0.15">
      <c r="A31" s="35" t="s">
        <v>169</v>
      </c>
      <c r="B31" s="83">
        <f>'Firing Inaccuracy(Standing) Raw'!B31</f>
        <v>0.09</v>
      </c>
      <c r="C31" s="15">
        <f>'Firing Inaccuracy(Standing) Raw'!C31</f>
        <v>6.05</v>
      </c>
      <c r="D31" s="22">
        <f>'Firing Inaccuracy(Standing) Raw'!D31</f>
        <v>0.25</v>
      </c>
      <c r="E31" s="33">
        <f>'Firing Inaccuracy(Standing) Raw'!E31</f>
        <v>0.5</v>
      </c>
      <c r="F31" s="176">
        <f>'Firing Inaccuracy(Standing) Raw'!F31</f>
        <v>0</v>
      </c>
      <c r="G31" s="21">
        <f>'Firing Inaccuracy(Standing) Raw'!G31+Analysis!C31</f>
        <v>10.45</v>
      </c>
      <c r="H31" s="114">
        <f>'Firing Inaccuracy(Standing) Raw'!H31+Analysis!C31</f>
        <v>13.090920785053004</v>
      </c>
      <c r="I31" s="114">
        <f>'Firing Inaccuracy(Standing) Raw'!I31+Analysis!C31</f>
        <v>14.243724519420768</v>
      </c>
      <c r="J31" s="114">
        <f>'Firing Inaccuracy(Standing) Raw'!J31+Analysis!C31</f>
        <v>15.736393061638438</v>
      </c>
      <c r="K31" s="114">
        <f>'Firing Inaccuracy(Standing) Raw'!K31+Analysis!C31</f>
        <v>17.344057409035539</v>
      </c>
      <c r="L31" s="114">
        <f>'Firing Inaccuracy(Standing) Raw'!L31+Analysis!C31</f>
        <v>19.002053920783958</v>
      </c>
      <c r="M31" s="114">
        <f>'Firing Inaccuracy(Standing) Raw'!M31+Analysis!C31</f>
        <v>20.097481352915587</v>
      </c>
      <c r="N31" s="114">
        <f>'Firing Inaccuracy(Standing) Raw'!N31+Analysis!C31</f>
        <v>20.821223080092743</v>
      </c>
      <c r="O31" s="114">
        <f>'Firing Inaccuracy(Standing) Raw'!O31+Analysis!C31</f>
        <v>21.29939449728839</v>
      </c>
      <c r="P31" s="114">
        <f>'Firing Inaccuracy(Standing) Raw'!P31+Analysis!C31</f>
        <v>21.615319219654062</v>
      </c>
      <c r="Q31" s="114">
        <f>'Firing Inaccuracy(Standing) Raw'!Q31+Analysis!C31</f>
        <v>21.824048613784679</v>
      </c>
      <c r="R31" s="114">
        <f>'Firing Inaccuracy(Standing) Raw'!R31+Analysis!C31</f>
        <v>21.961954756893373</v>
      </c>
      <c r="S31" s="114">
        <f>'Firing Inaccuracy(Standing) Raw'!S31+Analysis!C31</f>
        <v>22.053068442085284</v>
      </c>
      <c r="T31" s="114">
        <f>'Firing Inaccuracy(Standing) Raw'!T31+Analysis!C31</f>
        <v>22.113266656915407</v>
      </c>
      <c r="U31" s="114">
        <f>'Firing Inaccuracy(Standing) Raw'!U31+Analysis!C31</f>
        <v>22.153039223035421</v>
      </c>
      <c r="V31" s="114">
        <f>'Firing Inaccuracy(Standing) Raw'!V31+Analysis!C31</f>
        <v>22.179316696881365</v>
      </c>
      <c r="W31" s="114">
        <f>'Firing Inaccuracy(Standing) Raw'!W31+Analysis!C31</f>
        <v>22.196678051681573</v>
      </c>
      <c r="X31" s="114">
        <f>'Firing Inaccuracy(Standing) Raw'!X31+Analysis!C31</f>
        <v>22.208148585046601</v>
      </c>
      <c r="Y31" s="114">
        <f>'Firing Inaccuracy(Standing) Raw'!Y31+Analysis!C31</f>
        <v>22.215727091286031</v>
      </c>
      <c r="Z31" s="114">
        <f>'Firing Inaccuracy(Standing) Raw'!Z31+Analysis!C31</f>
        <v>22.220734160704104</v>
      </c>
      <c r="AA31" s="114">
        <f>'Firing Inaccuracy(Standing) Raw'!AA31+Analysis!C31</f>
        <v>22.224042298662347</v>
      </c>
      <c r="AB31" s="114">
        <f>'Firing Inaccuracy(Standing) Raw'!AB31+Analysis!C31</f>
        <v>22.226227963736463</v>
      </c>
      <c r="AC31" s="114">
        <f>'Firing Inaccuracy(Standing) Raw'!AC31+Analysis!C31</f>
        <v>22.227672018330473</v>
      </c>
      <c r="AD31" s="114">
        <f>'Firing Inaccuracy(Standing) Raw'!AD31+Analysis!C31</f>
        <v>22.228626095739294</v>
      </c>
      <c r="AE31" s="114">
        <f>'Firing Inaccuracy(Standing) Raw'!AE31+Analysis!C31</f>
        <v>22.229256448432199</v>
      </c>
      <c r="AF31" s="114"/>
      <c r="AG31" s="114"/>
      <c r="AH31" s="114"/>
      <c r="AI31" s="114"/>
      <c r="AJ31" s="114"/>
    </row>
    <row r="32" spans="1:36" ht="15.75" customHeight="1" x14ac:dyDescent="0.15">
      <c r="A32" s="36" t="s">
        <v>170</v>
      </c>
      <c r="B32" s="83">
        <f>'Firing Inaccuracy(Standing) Raw'!B32</f>
        <v>0.09</v>
      </c>
      <c r="C32" s="15">
        <f>'Firing Inaccuracy(Standing) Raw'!C32</f>
        <v>7</v>
      </c>
      <c r="D32" s="22">
        <f>'Firing Inaccuracy(Standing) Raw'!D32</f>
        <v>0.3</v>
      </c>
      <c r="E32" s="33">
        <f>'Firing Inaccuracy(Standing) Raw'!E32</f>
        <v>0.5</v>
      </c>
      <c r="F32" s="176">
        <f>'Firing Inaccuracy(Standing) Raw'!F32</f>
        <v>0</v>
      </c>
      <c r="G32" s="21">
        <f>'Firing Inaccuracy(Standing) Raw'!G32+Analysis!C32</f>
        <v>9.3699999999999992</v>
      </c>
      <c r="H32" s="114">
        <f>'Firing Inaccuracy(Standing) Raw'!H32+Analysis!C32</f>
        <v>12.878310635390905</v>
      </c>
      <c r="I32" s="114">
        <f>'Firing Inaccuracy(Standing) Raw'!I32+Analysis!C32</f>
        <v>14.636631137447612</v>
      </c>
      <c r="J32" s="114">
        <f>'Firing Inaccuracy(Standing) Raw'!J32+Analysis!C32</f>
        <v>16.340609608604606</v>
      </c>
      <c r="K32" s="114">
        <f>'Firing Inaccuracy(Standing) Raw'!K32+Analysis!C32</f>
        <v>18.030102838978273</v>
      </c>
      <c r="L32" s="114">
        <f>'Firing Inaccuracy(Standing) Raw'!L32+Analysis!C32</f>
        <v>19.716527340838098</v>
      </c>
      <c r="M32" s="114">
        <f>'Firing Inaccuracy(Standing) Raw'!M32+Analysis!C32</f>
        <v>20.83073695977636</v>
      </c>
      <c r="N32" s="114">
        <f>'Firing Inaccuracy(Standing) Raw'!N32+Analysis!C32</f>
        <v>21.566887954715909</v>
      </c>
      <c r="O32" s="114">
        <f>'Firing Inaccuracy(Standing) Raw'!O32+Analysis!C32</f>
        <v>22.053258093816744</v>
      </c>
      <c r="P32" s="114">
        <f>'Firing Inaccuracy(Standing) Raw'!P32+Analysis!C32</f>
        <v>22.374599658027204</v>
      </c>
      <c r="Q32" s="114">
        <f>'Firing Inaccuracy(Standing) Raw'!Q32+Analysis!C32</f>
        <v>22.586907924073568</v>
      </c>
      <c r="R32" s="114">
        <f>'Firing Inaccuracy(Standing) Raw'!R32+Analysis!C32</f>
        <v>22.727178604408252</v>
      </c>
      <c r="S32" s="114">
        <f>'Firing Inaccuracy(Standing) Raw'!S32+Analysis!C32</f>
        <v>22.81985452385295</v>
      </c>
      <c r="T32" s="114">
        <f>'Firing Inaccuracy(Standing) Raw'!T32+Analysis!C32</f>
        <v>22.881084896618141</v>
      </c>
      <c r="U32" s="114">
        <f>'Firing Inaccuracy(Standing) Raw'!U32+Analysis!C32</f>
        <v>22.921539402723162</v>
      </c>
      <c r="V32" s="114">
        <f>'Firing Inaccuracy(Standing) Raw'!V32+Analysis!C32</f>
        <v>22.948267429849139</v>
      </c>
      <c r="W32" s="114">
        <f>'Firing Inaccuracy(Standing) Raw'!W32+Analysis!C32</f>
        <v>22.965926462249435</v>
      </c>
      <c r="X32" s="114">
        <f>'Firing Inaccuracy(Standing) Raw'!X32+Analysis!C32</f>
        <v>22.977593669254468</v>
      </c>
      <c r="Y32" s="114">
        <f>'Firing Inaccuracy(Standing) Raw'!Y32+Analysis!C32</f>
        <v>22.985302116479239</v>
      </c>
      <c r="Z32" s="114">
        <f>'Firing Inaccuracy(Standing) Raw'!Z32+Analysis!C32</f>
        <v>22.990395037054959</v>
      </c>
      <c r="AA32" s="114">
        <f>'Firing Inaccuracy(Standing) Raw'!AA32+Analysis!C32</f>
        <v>22.993759896310564</v>
      </c>
      <c r="AB32" s="114">
        <f>'Firing Inaccuracy(Standing) Raw'!AB32+Analysis!C32</f>
        <v>22.995983036774206</v>
      </c>
      <c r="AC32" s="114">
        <f>'Firing Inaccuracy(Standing) Raw'!AC32+Analysis!C32</f>
        <v>22.997451851112537</v>
      </c>
      <c r="AD32" s="114">
        <f>'Firing Inaccuracy(Standing) Raw'!AD32+Analysis!C32</f>
        <v>22.99842228712221</v>
      </c>
      <c r="AE32" s="114">
        <f>'Firing Inaccuracy(Standing) Raw'!AE32+Analysis!C32</f>
        <v>22.999063447835514</v>
      </c>
      <c r="AF32" s="114">
        <f>'Firing Inaccuracy(Standing) Raw'!AF32+Analysis!C32</f>
        <v>22.999487058517911</v>
      </c>
      <c r="AG32" s="114">
        <f>'Firing Inaccuracy(Standing) Raw'!AG32+Analysis!C32</f>
        <v>22.999766935320274</v>
      </c>
      <c r="AH32" s="114">
        <f>'Firing Inaccuracy(Standing) Raw'!AH32+Analysis!C32</f>
        <v>22.99995184808985</v>
      </c>
      <c r="AI32" s="114">
        <f>'Firing Inaccuracy(Standing) Raw'!AI32+Analysis!C32</f>
        <v>23.00007401874516</v>
      </c>
      <c r="AJ32" s="114">
        <f>'Firing Inaccuracy(Standing) Raw'!AJ32+Analysis!C32</f>
        <v>23.000154736096661</v>
      </c>
    </row>
    <row r="33" spans="1:36" ht="15.75" customHeight="1" x14ac:dyDescent="0.15">
      <c r="A33" s="35" t="s">
        <v>171</v>
      </c>
      <c r="B33" s="83">
        <f>'Firing Inaccuracy(Standing) Raw'!B33</f>
        <v>0.09</v>
      </c>
      <c r="C33" s="15">
        <f>'Firing Inaccuracy(Standing) Raw'!C33</f>
        <v>7</v>
      </c>
      <c r="D33" s="22">
        <f>'Firing Inaccuracy(Standing) Raw'!D33</f>
        <v>0.33894099999999999</v>
      </c>
      <c r="E33" s="22">
        <f>'Firing Inaccuracy(Standing) Raw'!E33</f>
        <v>0.46604400000000001</v>
      </c>
      <c r="F33" s="176">
        <f>'Firing Inaccuracy(Standing) Raw'!F33</f>
        <v>0</v>
      </c>
      <c r="G33" s="21">
        <f>'Firing Inaccuracy(Standing) Raw'!G33+Analysis!C33</f>
        <v>5.5</v>
      </c>
      <c r="H33" s="114">
        <f>'Firing Inaccuracy(Standing) Raw'!H33+Analysis!C33</f>
        <v>9.2980886797525919</v>
      </c>
      <c r="I33" s="114">
        <f>'Firing Inaccuracy(Standing) Raw'!I33+Analysis!C33</f>
        <v>11.358871196790417</v>
      </c>
      <c r="J33" s="114">
        <f>'Firing Inaccuracy(Standing) Raw'!J33+Analysis!C33</f>
        <v>12.967471822235217</v>
      </c>
      <c r="K33" s="114">
        <f>'Firing Inaccuracy(Standing) Raw'!K33+Analysis!C33</f>
        <v>14.370872464110342</v>
      </c>
      <c r="L33" s="114">
        <f>'Firing Inaccuracy(Standing) Raw'!L33+Analysis!C33</f>
        <v>15.673865421405969</v>
      </c>
      <c r="M33" s="114">
        <f>'Firing Inaccuracy(Standing) Raw'!M33+Analysis!C33</f>
        <v>16.509136136519022</v>
      </c>
      <c r="N33" s="114">
        <f>'Firing Inaccuracy(Standing) Raw'!N33+Analysis!C33</f>
        <v>17.044578146100946</v>
      </c>
      <c r="O33" s="114">
        <f>'Firing Inaccuracy(Standing) Raw'!O33+Analysis!C33</f>
        <v>17.387817937030679</v>
      </c>
      <c r="P33" s="114">
        <f>'Firing Inaccuracy(Standing) Raw'!P33+Analysis!C33</f>
        <v>17.607848401523885</v>
      </c>
      <c r="Q33" s="114">
        <f>'Firing Inaccuracy(Standing) Raw'!Q33+Analysis!C33</f>
        <v>17.748896749018677</v>
      </c>
      <c r="R33" s="114">
        <f>'Firing Inaccuracy(Standing) Raw'!R33+Analysis!C33</f>
        <v>17.839314393579095</v>
      </c>
      <c r="S33" s="114">
        <f>'Firing Inaccuracy(Standing) Raw'!S33+Analysis!C33</f>
        <v>17.897275728065175</v>
      </c>
      <c r="T33" s="114">
        <f>'Firing Inaccuracy(Standing) Raw'!T33+Analysis!C33</f>
        <v>17.934431266806978</v>
      </c>
      <c r="U33" s="114">
        <f>'Firing Inaccuracy(Standing) Raw'!U33+Analysis!C33</f>
        <v>17.958249456492126</v>
      </c>
      <c r="V33" s="114">
        <f>'Firing Inaccuracy(Standing) Raw'!V33+Analysis!C33</f>
        <v>17.973517870814412</v>
      </c>
      <c r="W33" s="114">
        <f>'Firing Inaccuracy(Standing) Raw'!W33+Analysis!C33</f>
        <v>17.983305536417831</v>
      </c>
      <c r="X33" s="114">
        <f>'Firing Inaccuracy(Standing) Raw'!X33+Analysis!C33</f>
        <v>17.989579822400792</v>
      </c>
      <c r="Y33" s="114">
        <f>'Firing Inaccuracy(Standing) Raw'!Y33+Analysis!C33</f>
        <v>17.993601891215874</v>
      </c>
      <c r="Z33" s="114">
        <f>'Firing Inaccuracy(Standing) Raw'!Z33+Analysis!C33</f>
        <v>17.996180198547925</v>
      </c>
      <c r="AA33" s="114">
        <f>'Firing Inaccuracy(Standing) Raw'!AA33+Analysis!C33</f>
        <v>17.997832996897266</v>
      </c>
      <c r="AB33" s="114">
        <f>'Firing Inaccuracy(Standing) Raw'!AB33+Analysis!C33</f>
        <v>17.998892506890364</v>
      </c>
      <c r="AC33" s="114">
        <f>'Firing Inaccuracy(Standing) Raw'!AC33+Analysis!C33</f>
        <v>17.999571695265601</v>
      </c>
      <c r="AD33" s="114">
        <f>'Firing Inaccuracy(Standing) Raw'!AD33+Analysis!C33</f>
        <v>18.000007082238877</v>
      </c>
      <c r="AE33" s="114">
        <f>'Firing Inaccuracy(Standing) Raw'!AE33+Analysis!C33</f>
        <v>18.000286182740904</v>
      </c>
      <c r="AF33" s="114">
        <f>'Firing Inaccuracy(Standing) Raw'!AF33+Analysis!C33</f>
        <v>18.000465097350236</v>
      </c>
      <c r="AG33" s="114">
        <f>'Firing Inaccuracy(Standing) Raw'!AG33+Analysis!C33</f>
        <v>18.000579788786474</v>
      </c>
      <c r="AH33" s="114">
        <f>'Firing Inaccuracy(Standing) Raw'!AH33+Analysis!C33</f>
        <v>18.000653310594423</v>
      </c>
      <c r="AI33" s="114">
        <f>'Firing Inaccuracy(Standing) Raw'!AI33+Analysis!C33</f>
        <v>18.000700441020385</v>
      </c>
      <c r="AJ33" s="114">
        <f>'Firing Inaccuracy(Standing) Raw'!AJ33+Analysis!C33</f>
        <v>18.000730653512612</v>
      </c>
    </row>
    <row r="34" spans="1:36" ht="15.75" customHeight="1" x14ac:dyDescent="0.15">
      <c r="A34" s="35" t="s">
        <v>172</v>
      </c>
      <c r="B34" s="83">
        <f>'Firing Inaccuracy(Standing) Raw'!B34</f>
        <v>0.1</v>
      </c>
      <c r="C34" s="15">
        <f>'Firing Inaccuracy(Standing) Raw'!C34</f>
        <v>7</v>
      </c>
      <c r="D34" s="22">
        <f>'Firing Inaccuracy(Standing) Raw'!D34</f>
        <v>0.33894099999999999</v>
      </c>
      <c r="E34" s="22">
        <f>'Firing Inaccuracy(Standing) Raw'!E34</f>
        <v>0.46604400000000001</v>
      </c>
      <c r="F34" s="176">
        <f>'Firing Inaccuracy(Standing) Raw'!F34</f>
        <v>0</v>
      </c>
      <c r="G34" s="21">
        <f>'Firing Inaccuracy(Standing) Raw'!G34+Analysis!C34</f>
        <v>5.4</v>
      </c>
      <c r="H34" s="114">
        <f>'Firing Inaccuracy(Standing) Raw'!H34+Analysis!C34</f>
        <v>8.9486358912003716</v>
      </c>
      <c r="I34" s="114">
        <f>'Firing Inaccuracy(Standing) Raw'!I34+Analysis!C34</f>
        <v>10.747609703816865</v>
      </c>
      <c r="J34" s="114">
        <f>'Firing Inaccuracy(Standing) Raw'!J34+Analysis!C34</f>
        <v>12.150379157724533</v>
      </c>
      <c r="K34" s="114">
        <f>'Firing Inaccuracy(Standing) Raw'!K34+Analysis!C34</f>
        <v>13.38519342890104</v>
      </c>
      <c r="L34" s="114">
        <f>'Firing Inaccuracy(Standing) Raw'!L34+Analysis!C34</f>
        <v>14.543034079155644</v>
      </c>
      <c r="M34" s="114">
        <f>'Firing Inaccuracy(Standing) Raw'!M34+Analysis!C34</f>
        <v>15.249476513398278</v>
      </c>
      <c r="N34" s="114">
        <f>'Firing Inaccuracy(Standing) Raw'!N34+Analysis!C34</f>
        <v>15.680503799224629</v>
      </c>
      <c r="O34" s="114">
        <f>'Firing Inaccuracy(Standing) Raw'!O34+Analysis!C34</f>
        <v>15.943489871580272</v>
      </c>
      <c r="P34" s="114">
        <f>'Firing Inaccuracy(Standing) Raw'!P34+Analysis!C34</f>
        <v>16.103947634991822</v>
      </c>
      <c r="Q34" s="114">
        <f>'Firing Inaccuracy(Standing) Raw'!Q34+Analysis!C34</f>
        <v>16.201848993829636</v>
      </c>
      <c r="R34" s="114">
        <f>'Firing Inaccuracy(Standing) Raw'!R34+Analysis!C34</f>
        <v>16.261582320896569</v>
      </c>
      <c r="S34" s="114">
        <f>'Firing Inaccuracy(Standing) Raw'!S34+Analysis!C34</f>
        <v>16.298027886155737</v>
      </c>
      <c r="T34" s="114">
        <f>'Firing Inaccuracy(Standing) Raw'!T34+Analysis!C34</f>
        <v>16.320264705905828</v>
      </c>
      <c r="U34" s="114">
        <f>'Firing Inaccuracy(Standing) Raw'!U34+Analysis!C34</f>
        <v>16.333832231860818</v>
      </c>
      <c r="V34" s="114">
        <f>'Firing Inaccuracy(Standing) Raw'!V34+Analysis!C34</f>
        <v>16.342110293319603</v>
      </c>
      <c r="W34" s="114">
        <f>'Firing Inaccuracy(Standing) Raw'!W34+Analysis!C34</f>
        <v>16.347161052149389</v>
      </c>
      <c r="X34" s="114">
        <f>'Firing Inaccuracy(Standing) Raw'!X34+Analysis!C34</f>
        <v>16.350242711410271</v>
      </c>
      <c r="Y34" s="114">
        <f>'Firing Inaccuracy(Standing) Raw'!Y34+Analysis!C34</f>
        <v>16.352122948443998</v>
      </c>
      <c r="Z34" s="114">
        <f>'Firing Inaccuracy(Standing) Raw'!Z34+Analysis!C34</f>
        <v>16.353270152272756</v>
      </c>
      <c r="AA34" s="21">
        <f>'Firing Inaccuracy(Standing) Raw'!AA34+Analysis!C34</f>
        <v>16.353970104779329</v>
      </c>
      <c r="AB34" s="114">
        <f>'Firing Inaccuracy(Standing) Raw'!AB34+Analysis!C34</f>
        <v>16.354397172314478</v>
      </c>
      <c r="AC34" s="114">
        <f>'Firing Inaccuracy(Standing) Raw'!AC34+Analysis!C34</f>
        <v>16.354657742392966</v>
      </c>
      <c r="AD34" s="114">
        <f>'Firing Inaccuracy(Standing) Raw'!AD34+Analysis!C34</f>
        <v>16.354816726067014</v>
      </c>
      <c r="AE34" s="114">
        <f>'Firing Inaccuracy(Standing) Raw'!AE34+Analysis!C34</f>
        <v>16.354913728028102</v>
      </c>
      <c r="AF34" s="114"/>
      <c r="AG34" s="114"/>
      <c r="AH34" s="114"/>
      <c r="AI34" s="114"/>
      <c r="AJ34" s="114"/>
    </row>
    <row r="35" spans="1:36" ht="15.75" customHeight="1" x14ac:dyDescent="0.15">
      <c r="A35" s="36" t="s">
        <v>173</v>
      </c>
      <c r="B35" s="83">
        <f>'Firing Inaccuracy(Standing) Raw'!B35</f>
        <v>0.11</v>
      </c>
      <c r="C35" s="15">
        <f>'Firing Inaccuracy(Standing) Raw'!C35</f>
        <v>7.95</v>
      </c>
      <c r="D35" s="22">
        <f>'Firing Inaccuracy(Standing) Raw'!D35</f>
        <v>0.45288600000000001</v>
      </c>
      <c r="E35" s="33" t="str">
        <f>'Firing Inaccuracy(Standing) Raw'!E35</f>
        <v>N/A</v>
      </c>
      <c r="F35" s="176">
        <f>'Firing Inaccuracy(Standing) Raw'!F35</f>
        <v>0</v>
      </c>
      <c r="G35" s="21">
        <f>'Firing Inaccuracy(Standing) Raw'!G35+Analysis!C35</f>
        <v>6.4099999999999993</v>
      </c>
      <c r="H35" s="114">
        <f>'Firing Inaccuracy(Standing) Raw'!H35+Analysis!C35</f>
        <v>10.954440250606137</v>
      </c>
      <c r="I35" s="114">
        <f>'Firing Inaccuracy(Standing) Raw'!I35+Analysis!C35</f>
        <v>13.552168199201002</v>
      </c>
      <c r="J35" s="114">
        <f>'Firing Inaccuracy(Standing) Raw'!J35+Analysis!C35</f>
        <v>15.037101463316599</v>
      </c>
      <c r="K35" s="114">
        <f>'Firing Inaccuracy(Standing) Raw'!K35+Analysis!C35</f>
        <v>15.885930456387154</v>
      </c>
      <c r="L35" s="114">
        <f>'Firing Inaccuracy(Standing) Raw'!L35+Analysis!C35</f>
        <v>16.371144625191089</v>
      </c>
      <c r="M35" s="114">
        <f>'Firing Inaccuracy(Standing) Raw'!M35+Analysis!C35</f>
        <v>16.648506486685051</v>
      </c>
      <c r="N35" s="114">
        <f>'Firing Inaccuracy(Standing) Raw'!N35+Analysis!C35</f>
        <v>16.807054210880803</v>
      </c>
      <c r="O35" s="114">
        <f>'Firing Inaccuracy(Standing) Raw'!O35+Analysis!C35</f>
        <v>16.897684482513149</v>
      </c>
      <c r="P35" s="114">
        <f>'Firing Inaccuracy(Standing) Raw'!P35+Analysis!C35</f>
        <v>16.949491256642634</v>
      </c>
      <c r="Q35" s="114">
        <f>'Firing Inaccuracy(Standing) Raw'!Q35+Analysis!C35</f>
        <v>16.979105444014724</v>
      </c>
      <c r="R35" s="114">
        <f>'Firing Inaccuracy(Standing) Raw'!R35+Analysis!C35</f>
        <v>16.996033733962232</v>
      </c>
      <c r="S35" s="114">
        <f>'Firing Inaccuracy(Standing) Raw'!S35+Analysis!C35</f>
        <v>17.00571041348568</v>
      </c>
      <c r="T35" s="114">
        <f>'Firing Inaccuracy(Standing) Raw'!T35+Analysis!C35</f>
        <v>17.011241871588641</v>
      </c>
      <c r="U35" s="114">
        <f>'Firing Inaccuracy(Standing) Raw'!U35+Analysis!C35</f>
        <v>17.01440380628646</v>
      </c>
      <c r="V35" s="114">
        <f>'Firing Inaccuracy(Standing) Raw'!V35+Analysis!C35</f>
        <v>17.016211255759487</v>
      </c>
      <c r="W35" s="114">
        <f>'Firing Inaccuracy(Standing) Raw'!W35+Analysis!C35</f>
        <v>17.017244443952713</v>
      </c>
      <c r="X35" s="114">
        <f>'Firing Inaccuracy(Standing) Raw'!X35+Analysis!C35</f>
        <v>17.017835042947901</v>
      </c>
      <c r="Y35" s="114">
        <f>'Firing Inaccuracy(Standing) Raw'!Y35+Analysis!C35</f>
        <v>17.018172645695788</v>
      </c>
      <c r="Z35" s="114">
        <f>'Firing Inaccuracy(Standing) Raw'!Z35+Analysis!C35</f>
        <v>17.018365628779588</v>
      </c>
      <c r="AA35" s="114">
        <f>'Firing Inaccuracy(Standing) Raw'!AA35+Analysis!C35</f>
        <v>17.018475943256785</v>
      </c>
      <c r="AB35" s="114">
        <f>'Firing Inaccuracy(Standing) Raw'!AB35+Analysis!C35</f>
        <v>17.018539002068156</v>
      </c>
      <c r="AC35" s="114">
        <f>'Firing Inaccuracy(Standing) Raw'!AC35+Analysis!C35</f>
        <v>17.018575048231746</v>
      </c>
      <c r="AD35" s="114">
        <f>'Firing Inaccuracy(Standing) Raw'!AD35+Analysis!C35</f>
        <v>17.018595653217496</v>
      </c>
      <c r="AE35" s="114">
        <f>'Firing Inaccuracy(Standing) Raw'!AE35+Analysis!C35</f>
        <v>17.018607431598202</v>
      </c>
      <c r="AF35" s="114">
        <f>'Firing Inaccuracy(Standing) Raw'!AF35+Analysis!C35</f>
        <v>17.018614164446923</v>
      </c>
      <c r="AG35" s="114">
        <f>'Firing Inaccuracy(Standing) Raw'!AG35+Analysis!C35</f>
        <v>17.018618013129785</v>
      </c>
      <c r="AH35" s="114">
        <f>'Firing Inaccuracy(Standing) Raw'!AH35+Analysis!C35</f>
        <v>17.018620213143535</v>
      </c>
      <c r="AI35" s="114">
        <f>'Firing Inaccuracy(Standing) Raw'!AI35+Analysis!C35</f>
        <v>17.018621470732345</v>
      </c>
      <c r="AJ35" s="114">
        <f>'Firing Inaccuracy(Standing) Raw'!AJ35+Analysis!C35</f>
        <v>17.018622189604947</v>
      </c>
    </row>
    <row r="36" spans="1:36" ht="15.75" customHeight="1" x14ac:dyDescent="0.15">
      <c r="A36" s="39"/>
      <c r="B36" s="101">
        <f>'Firing Inaccuracy(Standing) Raw'!B36</f>
        <v>0</v>
      </c>
      <c r="C36" s="41">
        <f>'Firing Inaccuracy(Standing) Raw'!C36</f>
        <v>0</v>
      </c>
      <c r="D36" s="178">
        <f>'Firing Inaccuracy(Standing) Raw'!D36</f>
        <v>0</v>
      </c>
      <c r="E36" s="178">
        <f>'Firing Inaccuracy(Standing) Raw'!E36</f>
        <v>0</v>
      </c>
      <c r="F36" s="179">
        <f>'Firing Inaccuracy(Standing) Raw'!F36</f>
        <v>0</v>
      </c>
      <c r="G36" s="41">
        <f>'Firing Inaccuracy(Standing) Raw'!G36</f>
        <v>0</v>
      </c>
      <c r="H36" s="41">
        <f>'Firing Inaccuracy(Standing) Raw'!H36</f>
        <v>0</v>
      </c>
      <c r="I36" s="41">
        <f>'Firing Inaccuracy(Standing) Raw'!I36</f>
        <v>0</v>
      </c>
      <c r="J36" s="41">
        <f>'Firing Inaccuracy(Standing) Raw'!J36</f>
        <v>0</v>
      </c>
      <c r="K36" s="41">
        <f>'Firing Inaccuracy(Standing) Raw'!K36</f>
        <v>0</v>
      </c>
      <c r="L36" s="41">
        <f>'Firing Inaccuracy(Standing) Raw'!L36</f>
        <v>0</v>
      </c>
      <c r="M36" s="41">
        <f>'Firing Inaccuracy(Standing) Raw'!M36</f>
        <v>0</v>
      </c>
      <c r="N36" s="41">
        <f>'Firing Inaccuracy(Standing) Raw'!N36</f>
        <v>0</v>
      </c>
      <c r="O36" s="41">
        <f>'Firing Inaccuracy(Standing) Raw'!O36</f>
        <v>0</v>
      </c>
      <c r="P36" s="41">
        <f>'Firing Inaccuracy(Standing) Raw'!P36</f>
        <v>0</v>
      </c>
      <c r="Q36" s="41">
        <f>'Firing Inaccuracy(Standing) Raw'!Q36</f>
        <v>0</v>
      </c>
      <c r="R36" s="41">
        <f>'Firing Inaccuracy(Standing) Raw'!R36</f>
        <v>0</v>
      </c>
      <c r="S36" s="41">
        <f>'Firing Inaccuracy(Standing) Raw'!S36</f>
        <v>0</v>
      </c>
      <c r="T36" s="41">
        <f>'Firing Inaccuracy(Standing) Raw'!T36</f>
        <v>0</v>
      </c>
      <c r="U36" s="41">
        <f>'Firing Inaccuracy(Standing) Raw'!U36</f>
        <v>0</v>
      </c>
      <c r="V36" s="41">
        <f>'Firing Inaccuracy(Standing) Raw'!V36</f>
        <v>0</v>
      </c>
      <c r="W36" s="41">
        <f>'Firing Inaccuracy(Standing) Raw'!W36</f>
        <v>0</v>
      </c>
      <c r="X36" s="41">
        <f>'Firing Inaccuracy(Standing) Raw'!X36</f>
        <v>0</v>
      </c>
      <c r="Y36" s="41">
        <f>'Firing Inaccuracy(Standing) Raw'!Y36</f>
        <v>0</v>
      </c>
      <c r="Z36" s="41">
        <f>'Firing Inaccuracy(Standing) Raw'!Z36</f>
        <v>0</v>
      </c>
      <c r="AA36" s="41">
        <f>'Firing Inaccuracy(Standing) Raw'!AA36</f>
        <v>0</v>
      </c>
      <c r="AB36" s="41">
        <f>'Firing Inaccuracy(Standing) Raw'!AB36</f>
        <v>0</v>
      </c>
      <c r="AC36" s="41">
        <f>'Firing Inaccuracy(Standing) Raw'!AC36</f>
        <v>0</v>
      </c>
      <c r="AD36" s="41">
        <f>'Firing Inaccuracy(Standing) Raw'!AD36</f>
        <v>0</v>
      </c>
      <c r="AE36" s="41">
        <f>'Firing Inaccuracy(Standing) Raw'!AE36</f>
        <v>0</v>
      </c>
      <c r="AF36" s="41">
        <f>'Firing Inaccuracy(Standing) Raw'!AF36</f>
        <v>0</v>
      </c>
      <c r="AG36" s="41">
        <f>'Firing Inaccuracy(Standing) Raw'!AG36</f>
        <v>0</v>
      </c>
      <c r="AH36" s="41">
        <f>'Firing Inaccuracy(Standing) Raw'!AH36</f>
        <v>0</v>
      </c>
      <c r="AI36" s="41">
        <f>'Firing Inaccuracy(Standing) Raw'!AI36</f>
        <v>0</v>
      </c>
      <c r="AJ36" s="41">
        <f>'Firing Inaccuracy(Standing) Raw'!AJ36</f>
        <v>0</v>
      </c>
    </row>
    <row r="37" spans="1:36" ht="15.75" customHeight="1" x14ac:dyDescent="0.15">
      <c r="A37" s="1" t="s">
        <v>79</v>
      </c>
      <c r="B37" s="69" t="str">
        <f>'Firing Inaccuracy(Standing) Raw'!B37</f>
        <v>CycleTime</v>
      </c>
      <c r="C37" s="4" t="str">
        <f>'Firing Inaccuracy(Standing) Raw'!C37</f>
        <v>Inaccuracy
Fire</v>
      </c>
      <c r="D37" s="7" t="str">
        <f>'Firing Inaccuracy(Standing) Raw'!D37</f>
        <v>Recovery
TimeStand</v>
      </c>
      <c r="E37" s="7" t="str">
        <f>'Firing Inaccuracy(Standing) Raw'!E37</f>
        <v>RecoveryTime
StandFinal</v>
      </c>
      <c r="F37" s="174">
        <f>'Firing Inaccuracy(Standing) Raw'!F37</f>
        <v>0</v>
      </c>
      <c r="G37" s="175">
        <f>'Firing Inaccuracy(Standing) Raw'!G37</f>
        <v>1</v>
      </c>
      <c r="H37" s="175">
        <f>'Firing Inaccuracy(Standing) Raw'!H37</f>
        <v>2</v>
      </c>
      <c r="I37" s="175">
        <f>'Firing Inaccuracy(Standing) Raw'!I37</f>
        <v>3</v>
      </c>
      <c r="J37" s="175">
        <f>'Firing Inaccuracy(Standing) Raw'!J37</f>
        <v>4</v>
      </c>
      <c r="K37" s="175">
        <f>'Firing Inaccuracy(Standing) Raw'!K37</f>
        <v>5</v>
      </c>
      <c r="L37" s="175">
        <f>'Firing Inaccuracy(Standing) Raw'!L37</f>
        <v>6</v>
      </c>
      <c r="M37" s="175">
        <f>'Firing Inaccuracy(Standing) Raw'!M37</f>
        <v>7</v>
      </c>
      <c r="N37" s="175">
        <f>'Firing Inaccuracy(Standing) Raw'!N37</f>
        <v>8</v>
      </c>
      <c r="O37" s="175">
        <f>'Firing Inaccuracy(Standing) Raw'!O37</f>
        <v>9</v>
      </c>
      <c r="P37" s="175">
        <f>'Firing Inaccuracy(Standing) Raw'!P37</f>
        <v>10</v>
      </c>
      <c r="Q37" s="175">
        <f>'Firing Inaccuracy(Standing) Raw'!Q37</f>
        <v>11</v>
      </c>
      <c r="R37" s="175">
        <f>'Firing Inaccuracy(Standing) Raw'!R37</f>
        <v>12</v>
      </c>
      <c r="S37" s="175">
        <f>'Firing Inaccuracy(Standing) Raw'!S37</f>
        <v>13</v>
      </c>
      <c r="T37" s="175">
        <f>'Firing Inaccuracy(Standing) Raw'!T37</f>
        <v>14</v>
      </c>
      <c r="U37" s="175">
        <f>'Firing Inaccuracy(Standing) Raw'!U37</f>
        <v>15</v>
      </c>
      <c r="V37" s="175">
        <f>'Firing Inaccuracy(Standing) Raw'!V37</f>
        <v>16</v>
      </c>
      <c r="W37" s="175">
        <f>'Firing Inaccuracy(Standing) Raw'!W37</f>
        <v>17</v>
      </c>
      <c r="X37" s="175">
        <f>'Firing Inaccuracy(Standing) Raw'!X37</f>
        <v>18</v>
      </c>
      <c r="Y37" s="175">
        <f>'Firing Inaccuracy(Standing) Raw'!Y37</f>
        <v>19</v>
      </c>
      <c r="Z37" s="175">
        <f>'Firing Inaccuracy(Standing) Raw'!Z37</f>
        <v>20</v>
      </c>
      <c r="AA37" s="175">
        <f>'Firing Inaccuracy(Standing) Raw'!AA37</f>
        <v>21</v>
      </c>
      <c r="AB37" s="175">
        <f>'Firing Inaccuracy(Standing) Raw'!AB37</f>
        <v>22</v>
      </c>
      <c r="AC37" s="175">
        <f>'Firing Inaccuracy(Standing) Raw'!AC37</f>
        <v>23</v>
      </c>
      <c r="AD37" s="175">
        <f>'Firing Inaccuracy(Standing) Raw'!AD37</f>
        <v>24</v>
      </c>
      <c r="AE37" s="175">
        <f>'Firing Inaccuracy(Standing) Raw'!AE37</f>
        <v>25</v>
      </c>
      <c r="AF37" s="175">
        <f>'Firing Inaccuracy(Standing) Raw'!AF37</f>
        <v>26</v>
      </c>
      <c r="AG37" s="175">
        <f>'Firing Inaccuracy(Standing) Raw'!AG37</f>
        <v>27</v>
      </c>
      <c r="AH37" s="175">
        <f>'Firing Inaccuracy(Standing) Raw'!AH37</f>
        <v>28</v>
      </c>
      <c r="AI37" s="175">
        <f>'Firing Inaccuracy(Standing) Raw'!AI37</f>
        <v>29</v>
      </c>
      <c r="AJ37" s="175">
        <f>'Firing Inaccuracy(Standing) Raw'!AJ37</f>
        <v>30</v>
      </c>
    </row>
    <row r="38" spans="1:36" ht="15.75" customHeight="1" x14ac:dyDescent="0.15">
      <c r="A38" s="9" t="s">
        <v>174</v>
      </c>
      <c r="B38" s="83">
        <f>'Firing Inaccuracy(Standing) Raw'!B38</f>
        <v>0.08</v>
      </c>
      <c r="C38" s="15">
        <f>'Firing Inaccuracy(Standing) Raw'!C38</f>
        <v>3.56</v>
      </c>
      <c r="D38" s="22">
        <f>'Firing Inaccuracy(Standing) Raw'!D38</f>
        <v>0.82893099999999997</v>
      </c>
      <c r="E38" s="33" t="str">
        <f>'Firing Inaccuracy(Standing) Raw'!E38</f>
        <v>N/A</v>
      </c>
      <c r="F38" s="176">
        <f>'Firing Inaccuracy(Standing) Raw'!F38</f>
        <v>0</v>
      </c>
      <c r="G38" s="21">
        <f>'Firing Inaccuracy(Standing) Raw'!G38+Analysis!C38</f>
        <v>9.6999999999999993</v>
      </c>
      <c r="H38" s="114">
        <f>'Firing Inaccuracy(Standing) Raw'!H38+Analysis!C38</f>
        <v>12.55062543448148</v>
      </c>
      <c r="I38" s="114">
        <f>'Firing Inaccuracy(Standing) Raw'!I38+Analysis!C38</f>
        <v>14.833228065861462</v>
      </c>
      <c r="J38" s="114">
        <f>'Firing Inaccuracy(Standing) Raw'!J38+Analysis!C38</f>
        <v>16.660993548396892</v>
      </c>
      <c r="K38" s="114">
        <f>'Firing Inaccuracy(Standing) Raw'!K38+Analysis!C38</f>
        <v>18.124553877830266</v>
      </c>
      <c r="L38" s="114">
        <f>'Firing Inaccuracy(Standing) Raw'!L38+Analysis!C38</f>
        <v>19.296481490184448</v>
      </c>
      <c r="M38" s="114">
        <f>'Firing Inaccuracy(Standing) Raw'!M38+Analysis!C38</f>
        <v>20.234887855113655</v>
      </c>
      <c r="N38" s="114">
        <f>'Firing Inaccuracy(Standing) Raw'!N38+Analysis!C38</f>
        <v>20.986305004480649</v>
      </c>
      <c r="O38" s="114">
        <f>'Firing Inaccuracy(Standing) Raw'!O38+Analysis!C38</f>
        <v>21.587992880292767</v>
      </c>
      <c r="P38" s="114">
        <f>'Firing Inaccuracy(Standing) Raw'!P38+Analysis!C38</f>
        <v>22.069786914677358</v>
      </c>
      <c r="Q38" s="114">
        <f>'Firing Inaccuracy(Standing) Raw'!Q38+Analysis!C38</f>
        <v>22.455577456418418</v>
      </c>
      <c r="R38" s="114">
        <f>'Firing Inaccuracy(Standing) Raw'!R38+Analysis!C38</f>
        <v>22.764494403235677</v>
      </c>
      <c r="S38" s="114">
        <f>'Firing Inaccuracy(Standing) Raw'!S38+Analysis!C38</f>
        <v>23.011855781252429</v>
      </c>
      <c r="T38" s="114">
        <f>'Firing Inaccuracy(Standing) Raw'!T38+Analysis!C38</f>
        <v>23.209927308129664</v>
      </c>
      <c r="U38" s="114">
        <f>'Firing Inaccuracy(Standing) Raw'!U38+Analysis!C38</f>
        <v>23.368530603737199</v>
      </c>
      <c r="V38" s="114">
        <f>'Firing Inaccuracy(Standing) Raw'!V38+Analysis!C38</f>
        <v>23.495530207234786</v>
      </c>
      <c r="W38" s="114">
        <f>'Firing Inaccuracy(Standing) Raw'!W38+Analysis!C38</f>
        <v>23.597223549903131</v>
      </c>
      <c r="X38" s="114">
        <f>'Firing Inaccuracy(Standing) Raw'!X38+Analysis!C38</f>
        <v>23.678653221006449</v>
      </c>
      <c r="Y38" s="114">
        <f>'Firing Inaccuracy(Standing) Raw'!Y38+Analysis!C38</f>
        <v>23.743857010772906</v>
      </c>
      <c r="Z38" s="114">
        <f>'Firing Inaccuracy(Standing) Raw'!Z38+Analysis!C38</f>
        <v>23.796068129181009</v>
      </c>
      <c r="AA38" s="114">
        <f>'Firing Inaccuracy(Standing) Raw'!AA38+Analysis!C38</f>
        <v>23.837875528646418</v>
      </c>
      <c r="AB38" s="114">
        <f>'Firing Inaccuracy(Standing) Raw'!AB38+Analysis!C38</f>
        <v>23.871352280406423</v>
      </c>
      <c r="AC38" s="114">
        <f>'Firing Inaccuracy(Standing) Raw'!AC38+Analysis!C38</f>
        <v>23.898158370302742</v>
      </c>
      <c r="AD38" s="114">
        <f>'Firing Inaccuracy(Standing) Raw'!AD38+Analysis!C38</f>
        <v>23.919623011217752</v>
      </c>
      <c r="AE38" s="114">
        <f>'Firing Inaccuracy(Standing) Raw'!AE38+Analysis!C38</f>
        <v>23.936810553727405</v>
      </c>
      <c r="AF38" s="114">
        <f>'Firing Inaccuracy(Standing) Raw'!AF38+Analysis!C38</f>
        <v>23.950573263231401</v>
      </c>
      <c r="AG38" s="114">
        <f>'Firing Inaccuracy(Standing) Raw'!AG38+Analysis!C38</f>
        <v>23.961593580579567</v>
      </c>
      <c r="AH38" s="114">
        <f>'Firing Inaccuracy(Standing) Raw'!AH38+Analysis!C38</f>
        <v>23.970417961739329</v>
      </c>
      <c r="AI38" s="114">
        <f>'Firing Inaccuracy(Standing) Raw'!AI38+Analysis!C38</f>
        <v>23.977483974485835</v>
      </c>
      <c r="AJ38" s="114">
        <f>'Firing Inaccuracy(Standing) Raw'!AJ38+Analysis!C38</f>
        <v>23.983141995737402</v>
      </c>
    </row>
    <row r="39" spans="1:36" ht="15.75" customHeight="1" x14ac:dyDescent="0.15">
      <c r="A39" s="9" t="s">
        <v>176</v>
      </c>
      <c r="B39" s="83">
        <f>'Firing Inaccuracy(Standing) Raw'!B39</f>
        <v>7.4999999999999997E-2</v>
      </c>
      <c r="C39" s="15">
        <f>'Firing Inaccuracy(Standing) Raw'!C39</f>
        <v>30</v>
      </c>
      <c r="D39" s="22">
        <f>'Firing Inaccuracy(Standing) Raw'!D39</f>
        <v>0.3</v>
      </c>
      <c r="E39" s="33">
        <f>'Firing Inaccuracy(Standing) Raw'!E39</f>
        <v>0.1</v>
      </c>
      <c r="F39" s="176">
        <f>'Firing Inaccuracy(Standing) Raw'!F39</f>
        <v>0</v>
      </c>
      <c r="G39" s="21">
        <f>'Firing Inaccuracy(Standing) Raw'!G39+Analysis!C39</f>
        <v>12.17</v>
      </c>
      <c r="H39" s="114">
        <f>'Firing Inaccuracy(Standing) Raw'!H39+Analysis!C39</f>
        <v>29.040239755710473</v>
      </c>
      <c r="I39" s="114">
        <f>'Firing Inaccuracy(Standing) Raw'!I39+Analysis!C39</f>
        <v>38.527072736215608</v>
      </c>
      <c r="J39" s="114">
        <f>'Firing Inaccuracy(Standing) Raw'!J39+Analysis!C39</f>
        <v>43.861910966332381</v>
      </c>
      <c r="K39" s="114">
        <f>'Firing Inaccuracy(Standing) Raw'!K39+Analysis!C39</f>
        <v>46.861910966332381</v>
      </c>
      <c r="L39" s="114">
        <f>'Firing Inaccuracy(Standing) Raw'!L39+Analysis!C39</f>
        <v>48.548934941903433</v>
      </c>
      <c r="M39" s="114">
        <f>'Firing Inaccuracy(Standing) Raw'!M39+Analysis!C39</f>
        <v>49.497618239953937</v>
      </c>
      <c r="N39" s="114">
        <f>'Firing Inaccuracy(Standing) Raw'!N39+Analysis!C39</f>
        <v>50.031102062965616</v>
      </c>
      <c r="O39" s="114">
        <f>'Firing Inaccuracy(Standing) Raw'!O39+Analysis!C39</f>
        <v>50.33110206296562</v>
      </c>
      <c r="P39" s="114">
        <f>'Firing Inaccuracy(Standing) Raw'!P39+Analysis!C39</f>
        <v>50.499804460522725</v>
      </c>
      <c r="Q39" s="114">
        <f>'Firing Inaccuracy(Standing) Raw'!Q39+Analysis!C39</f>
        <v>44.767298279026804</v>
      </c>
      <c r="R39" s="114">
        <f>'Firing Inaccuracy(Standing) Raw'!R39+Analysis!C39</f>
        <v>34.380359559246564</v>
      </c>
      <c r="S39" s="114">
        <f>'Firing Inaccuracy(Standing) Raw'!S39+Analysis!C39</f>
        <v>21.454460739493705</v>
      </c>
      <c r="T39" s="114">
        <f>'Firing Inaccuracy(Standing) Raw'!T39+Analysis!C39</f>
        <v>19.155874766752412</v>
      </c>
      <c r="U39" s="114">
        <f>'Firing Inaccuracy(Standing) Raw'!U39+Analysis!C39</f>
        <v>18.7471219559994</v>
      </c>
      <c r="V39" s="114">
        <f>'Firing Inaccuracy(Standing) Raw'!V39+Analysis!C39</f>
        <v>18.674434285283638</v>
      </c>
      <c r="W39" s="114">
        <f>'Firing Inaccuracy(Standing) Raw'!W39+Analysis!C39</f>
        <v>18.661508386463886</v>
      </c>
      <c r="X39" s="114">
        <f>'Firing Inaccuracy(Standing) Raw'!X39+Analysis!C39</f>
        <v>18.659209800491144</v>
      </c>
      <c r="Y39" s="114">
        <f>'Firing Inaccuracy(Standing) Raw'!Y39+Analysis!C39</f>
        <v>18.658801047680392</v>
      </c>
      <c r="Z39" s="114">
        <f>'Firing Inaccuracy(Standing) Raw'!Z39+Analysis!C39</f>
        <v>18.658728360009675</v>
      </c>
      <c r="AA39" s="114">
        <f>'Firing Inaccuracy(Standing) Raw'!AA39+Analysis!C39</f>
        <v>18.658715434110853</v>
      </c>
      <c r="AB39" s="114">
        <f>'Firing Inaccuracy(Standing) Raw'!AB39+Analysis!C39</f>
        <v>18.658713135524884</v>
      </c>
      <c r="AC39" s="114">
        <f>'Firing Inaccuracy(Standing) Raw'!AC39+Analysis!C39</f>
        <v>18.658712726772073</v>
      </c>
      <c r="AD39" s="114">
        <f>'Firing Inaccuracy(Standing) Raw'!AD39+Analysis!C39</f>
        <v>18.6587126540844</v>
      </c>
      <c r="AE39" s="114">
        <f>'Firing Inaccuracy(Standing) Raw'!AE39+Analysis!C39</f>
        <v>18.658712641158502</v>
      </c>
      <c r="AF39" s="114">
        <f>'Firing Inaccuracy(Standing) Raw'!AF39+Analysis!C39</f>
        <v>18.658712638859917</v>
      </c>
      <c r="AG39" s="114">
        <f>'Firing Inaccuracy(Standing) Raw'!AG39+Analysis!C39</f>
        <v>18.658712638451163</v>
      </c>
      <c r="AH39" s="114">
        <f>'Firing Inaccuracy(Standing) Raw'!AH39+Analysis!C39</f>
        <v>18.658712638378475</v>
      </c>
      <c r="AI39" s="114">
        <f>'Firing Inaccuracy(Standing) Raw'!AI39+Analysis!C39</f>
        <v>18.65871263836555</v>
      </c>
      <c r="AJ39" s="114">
        <f>'Firing Inaccuracy(Standing) Raw'!AJ39+Analysis!C39</f>
        <v>18.658712638363252</v>
      </c>
    </row>
    <row r="40" spans="1:36" ht="15.75" customHeight="1" x14ac:dyDescent="0.15">
      <c r="A40" s="39"/>
      <c r="B40" s="101">
        <f>'Firing Inaccuracy(Standing) Raw'!B40</f>
        <v>0</v>
      </c>
      <c r="C40" s="177">
        <f>'Firing Inaccuracy(Standing) Raw'!C40</f>
        <v>0</v>
      </c>
      <c r="D40" s="178">
        <f>'Firing Inaccuracy(Standing) Raw'!D40</f>
        <v>0</v>
      </c>
      <c r="E40" s="178">
        <f>'Firing Inaccuracy(Standing) Raw'!E40</f>
        <v>0</v>
      </c>
      <c r="F40" s="179">
        <f>'Firing Inaccuracy(Standing) Raw'!F40</f>
        <v>0</v>
      </c>
      <c r="G40" s="41">
        <f>'Firing Inaccuracy(Standing) Raw'!G40</f>
        <v>0</v>
      </c>
      <c r="H40" s="41">
        <f>'Firing Inaccuracy(Standing) Raw'!H40</f>
        <v>0</v>
      </c>
      <c r="I40" s="41">
        <f>'Firing Inaccuracy(Standing) Raw'!I40</f>
        <v>0</v>
      </c>
      <c r="J40" s="41">
        <f>'Firing Inaccuracy(Standing) Raw'!J40</f>
        <v>0</v>
      </c>
      <c r="K40" s="41">
        <f>'Firing Inaccuracy(Standing) Raw'!K40</f>
        <v>0</v>
      </c>
      <c r="L40" s="41">
        <f>'Firing Inaccuracy(Standing) Raw'!L40</f>
        <v>0</v>
      </c>
      <c r="M40" s="41">
        <f>'Firing Inaccuracy(Standing) Raw'!M40</f>
        <v>0</v>
      </c>
      <c r="N40" s="41">
        <f>'Firing Inaccuracy(Standing) Raw'!N40</f>
        <v>0</v>
      </c>
      <c r="O40" s="41">
        <f>'Firing Inaccuracy(Standing) Raw'!O40</f>
        <v>0</v>
      </c>
      <c r="P40" s="41">
        <f>'Firing Inaccuracy(Standing) Raw'!P40</f>
        <v>0</v>
      </c>
      <c r="Q40" s="41">
        <f>'Firing Inaccuracy(Standing) Raw'!Q40</f>
        <v>0</v>
      </c>
      <c r="R40" s="41">
        <f>'Firing Inaccuracy(Standing) Raw'!R40</f>
        <v>0</v>
      </c>
      <c r="S40" s="41">
        <f>'Firing Inaccuracy(Standing) Raw'!S40</f>
        <v>0</v>
      </c>
      <c r="T40" s="41">
        <f>'Firing Inaccuracy(Standing) Raw'!T40</f>
        <v>0</v>
      </c>
      <c r="U40" s="41">
        <f>'Firing Inaccuracy(Standing) Raw'!U40</f>
        <v>0</v>
      </c>
      <c r="V40" s="41">
        <f>'Firing Inaccuracy(Standing) Raw'!V40</f>
        <v>0</v>
      </c>
      <c r="W40" s="41">
        <f>'Firing Inaccuracy(Standing) Raw'!W40</f>
        <v>0</v>
      </c>
      <c r="X40" s="41">
        <f>'Firing Inaccuracy(Standing) Raw'!X40</f>
        <v>0</v>
      </c>
      <c r="Y40" s="41">
        <f>'Firing Inaccuracy(Standing) Raw'!Y40</f>
        <v>0</v>
      </c>
      <c r="Z40" s="41">
        <f>'Firing Inaccuracy(Standing) Raw'!Z40</f>
        <v>0</v>
      </c>
      <c r="AA40" s="180">
        <f>'Firing Inaccuracy(Standing) Raw'!AA40</f>
        <v>0</v>
      </c>
      <c r="AB40" s="180">
        <f>'Firing Inaccuracy(Standing) Raw'!AB40</f>
        <v>0</v>
      </c>
      <c r="AC40" s="180">
        <f>'Firing Inaccuracy(Standing) Raw'!AC40</f>
        <v>0</v>
      </c>
      <c r="AD40" s="180">
        <f>'Firing Inaccuracy(Standing) Raw'!AD40</f>
        <v>0</v>
      </c>
      <c r="AE40" s="180">
        <f>'Firing Inaccuracy(Standing) Raw'!AE40</f>
        <v>0</v>
      </c>
      <c r="AF40" s="180">
        <f>'Firing Inaccuracy(Standing) Raw'!AF40</f>
        <v>0</v>
      </c>
      <c r="AG40" s="180">
        <f>'Firing Inaccuracy(Standing) Raw'!AG40</f>
        <v>0</v>
      </c>
      <c r="AH40" s="180">
        <f>'Firing Inaccuracy(Standing) Raw'!AH40</f>
        <v>0</v>
      </c>
      <c r="AI40" s="180">
        <f>'Firing Inaccuracy(Standing) Raw'!AI40</f>
        <v>0</v>
      </c>
      <c r="AJ40" s="180">
        <f>'Firing Inaccuracy(Standing) Raw'!AJ40</f>
        <v>0</v>
      </c>
    </row>
    <row r="41" spans="1:36" ht="15.75" customHeight="1" x14ac:dyDescent="0.15">
      <c r="A41" s="1" t="s">
        <v>82</v>
      </c>
      <c r="B41" s="69" t="str">
        <f>'Firing Inaccuracy(Standing) Raw'!B41</f>
        <v>CycleTime</v>
      </c>
      <c r="C41" s="4" t="str">
        <f>'Firing Inaccuracy(Standing) Raw'!C41</f>
        <v>Inaccuracy
Fire</v>
      </c>
      <c r="D41" s="7" t="str">
        <f>'Firing Inaccuracy(Standing) Raw'!D41</f>
        <v>Recovery
TimeStand</v>
      </c>
      <c r="E41" s="7" t="str">
        <f>'Firing Inaccuracy(Standing) Raw'!E41</f>
        <v>RecoveryTime
StandFinal</v>
      </c>
      <c r="F41" s="174">
        <f>'Firing Inaccuracy(Standing) Raw'!F41</f>
        <v>0</v>
      </c>
      <c r="G41" s="175">
        <f>'Firing Inaccuracy(Standing) Raw'!G41</f>
        <v>1</v>
      </c>
      <c r="H41" s="175">
        <f>'Firing Inaccuracy(Standing) Raw'!H41</f>
        <v>2</v>
      </c>
      <c r="I41" s="175">
        <f>'Firing Inaccuracy(Standing) Raw'!I41</f>
        <v>3</v>
      </c>
      <c r="J41" s="175">
        <f>'Firing Inaccuracy(Standing) Raw'!J41</f>
        <v>4</v>
      </c>
      <c r="K41" s="175">
        <f>'Firing Inaccuracy(Standing) Raw'!K41</f>
        <v>5</v>
      </c>
      <c r="L41" s="175">
        <f>'Firing Inaccuracy(Standing) Raw'!L41</f>
        <v>6</v>
      </c>
      <c r="M41" s="175">
        <f>'Firing Inaccuracy(Standing) Raw'!M41</f>
        <v>7</v>
      </c>
      <c r="N41" s="175">
        <f>'Firing Inaccuracy(Standing) Raw'!N41</f>
        <v>8</v>
      </c>
      <c r="O41" s="175">
        <f>'Firing Inaccuracy(Standing) Raw'!O41</f>
        <v>9</v>
      </c>
      <c r="P41" s="175">
        <f>'Firing Inaccuracy(Standing) Raw'!P41</f>
        <v>10</v>
      </c>
      <c r="Q41" s="175">
        <f>'Firing Inaccuracy(Standing) Raw'!Q41</f>
        <v>11</v>
      </c>
      <c r="R41" s="175">
        <f>'Firing Inaccuracy(Standing) Raw'!R41</f>
        <v>12</v>
      </c>
      <c r="S41" s="175">
        <f>'Firing Inaccuracy(Standing) Raw'!S41</f>
        <v>13</v>
      </c>
      <c r="T41" s="175">
        <f>'Firing Inaccuracy(Standing) Raw'!T41</f>
        <v>14</v>
      </c>
      <c r="U41" s="175">
        <f>'Firing Inaccuracy(Standing) Raw'!U41</f>
        <v>15</v>
      </c>
      <c r="V41" s="175">
        <f>'Firing Inaccuracy(Standing) Raw'!V41</f>
        <v>16</v>
      </c>
      <c r="W41" s="175">
        <f>'Firing Inaccuracy(Standing) Raw'!W41</f>
        <v>17</v>
      </c>
      <c r="X41" s="175">
        <f>'Firing Inaccuracy(Standing) Raw'!X41</f>
        <v>18</v>
      </c>
      <c r="Y41" s="175">
        <f>'Firing Inaccuracy(Standing) Raw'!Y41</f>
        <v>19</v>
      </c>
      <c r="Z41" s="175">
        <f>'Firing Inaccuracy(Standing) Raw'!Z41</f>
        <v>20</v>
      </c>
      <c r="AA41" s="181">
        <f>'Firing Inaccuracy(Standing) Raw'!AA41</f>
        <v>0</v>
      </c>
      <c r="AB41" s="183">
        <f>'Firing Inaccuracy(Standing) Raw'!AB41</f>
        <v>0</v>
      </c>
      <c r="AC41" s="183">
        <f>'Firing Inaccuracy(Standing) Raw'!AC41</f>
        <v>0</v>
      </c>
      <c r="AD41" s="183">
        <f>'Firing Inaccuracy(Standing) Raw'!AD41</f>
        <v>0</v>
      </c>
      <c r="AE41" s="183">
        <f>'Firing Inaccuracy(Standing) Raw'!AE41</f>
        <v>0</v>
      </c>
      <c r="AF41" s="183">
        <f>'Firing Inaccuracy(Standing) Raw'!AF41</f>
        <v>0</v>
      </c>
      <c r="AG41" s="183">
        <f>'Firing Inaccuracy(Standing) Raw'!AG41</f>
        <v>0</v>
      </c>
      <c r="AH41" s="183">
        <f>'Firing Inaccuracy(Standing) Raw'!AH41</f>
        <v>0</v>
      </c>
      <c r="AI41" s="183">
        <f>'Firing Inaccuracy(Standing) Raw'!AI41</f>
        <v>0</v>
      </c>
      <c r="AJ41" s="183">
        <f>'Firing Inaccuracy(Standing) Raw'!AJ41</f>
        <v>0</v>
      </c>
    </row>
    <row r="42" spans="1:36" ht="15.75" customHeight="1" x14ac:dyDescent="0.15">
      <c r="A42" s="9" t="s">
        <v>177</v>
      </c>
      <c r="B42" s="83">
        <f>'Firing Inaccuracy(Standing) Raw'!B42</f>
        <v>1.4550000000000001</v>
      </c>
      <c r="C42" s="15">
        <f>'Firing Inaccuracy(Standing) Raw'!C42</f>
        <v>53.85</v>
      </c>
      <c r="D42" s="22">
        <f>'Firing Inaccuracy(Standing) Raw'!D42</f>
        <v>0.34538999999999997</v>
      </c>
      <c r="E42" s="33" t="str">
        <f>'Firing Inaccuracy(Standing) Raw'!E42</f>
        <v>N/A</v>
      </c>
      <c r="F42" s="176">
        <f>'Firing Inaccuracy(Standing) Raw'!F42</f>
        <v>0</v>
      </c>
      <c r="G42" s="21">
        <f>'Firing Inaccuracy(Standing) Raw'!G42+Analysis!C42</f>
        <v>2.2000000000000002</v>
      </c>
      <c r="H42" s="114">
        <f>'Firing Inaccuracy(Standing) Raw'!H42+Analysis!C42</f>
        <v>2.2033003234547932</v>
      </c>
      <c r="I42" s="114">
        <f>'Firing Inaccuracy(Standing) Raw'!I42+Analysis!C42</f>
        <v>2.2033005257228511</v>
      </c>
      <c r="J42" s="114">
        <f>'Firing Inaccuracy(Standing) Raw'!J42+Analysis!C42</f>
        <v>2.2033005257352474</v>
      </c>
      <c r="K42" s="114">
        <f>'Firing Inaccuracy(Standing) Raw'!K42+Analysis!C42</f>
        <v>2.2033005257352483</v>
      </c>
      <c r="L42" s="114">
        <f>'Firing Inaccuracy(Standing) Raw'!L42+Analysis!C42</f>
        <v>2.2033005257352483</v>
      </c>
      <c r="M42" s="114">
        <f>'Firing Inaccuracy(Standing) Raw'!M42+Analysis!C42</f>
        <v>2.2033005257352483</v>
      </c>
      <c r="N42" s="114">
        <f>'Firing Inaccuracy(Standing) Raw'!N42+Analysis!C42</f>
        <v>2.2033005257352483</v>
      </c>
      <c r="O42" s="114">
        <f>'Firing Inaccuracy(Standing) Raw'!O42+Analysis!C42</f>
        <v>2.2033005257352483</v>
      </c>
      <c r="P42" s="114">
        <f>'Firing Inaccuracy(Standing) Raw'!P42+Analysis!C42</f>
        <v>2.2033005257352483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spans="1:36" ht="15.75" customHeight="1" x14ac:dyDescent="0.15">
      <c r="A43" s="36" t="s">
        <v>179</v>
      </c>
      <c r="B43" s="83">
        <f>'Firing Inaccuracy(Standing) Raw'!B43</f>
        <v>0.25</v>
      </c>
      <c r="C43" s="15">
        <f>'Firing Inaccuracy(Standing) Raw'!C43</f>
        <v>18.61</v>
      </c>
      <c r="D43" s="22">
        <f>'Firing Inaccuracy(Standing) Raw'!D43</f>
        <v>0.54433100000000001</v>
      </c>
      <c r="E43" s="33" t="str">
        <f>'Firing Inaccuracy(Standing) Raw'!E43</f>
        <v>N/A</v>
      </c>
      <c r="F43" s="176">
        <f>'Firing Inaccuracy(Standing) Raw'!F43</f>
        <v>0</v>
      </c>
      <c r="G43" s="21">
        <f>'Firing Inaccuracy(Standing) Raw'!G43+Analysis!C43</f>
        <v>2.2999999999999998</v>
      </c>
      <c r="H43" s="114">
        <f>'Firing Inaccuracy(Standing) Raw'!H43+Analysis!C43</f>
        <v>8.7634888036064353</v>
      </c>
      <c r="I43" s="114">
        <f>'Firing Inaccuracy(Standing) Raw'!I43+Analysis!C43</f>
        <v>11.008340362679284</v>
      </c>
      <c r="J43" s="114">
        <f>'Firing Inaccuracy(Standing) Raw'!J43+Analysis!C43</f>
        <v>11.788005753212644</v>
      </c>
      <c r="K43" s="114">
        <f>'Firing Inaccuracy(Standing) Raw'!K43+Analysis!C43</f>
        <v>12.058793422329884</v>
      </c>
      <c r="L43" s="114">
        <f>'Firing Inaccuracy(Standing) Raw'!L43+Analysis!C43</f>
        <v>12.152841410910966</v>
      </c>
      <c r="M43" s="114">
        <f>'Firing Inaccuracy(Standing) Raw'!M43+Analysis!C43</f>
        <v>12.185505469008522</v>
      </c>
      <c r="N43" s="114">
        <f>'Firing Inaccuracy(Standing) Raw'!N43+Analysis!C43</f>
        <v>12.196850110265583</v>
      </c>
      <c r="O43" s="114">
        <f>'Firing Inaccuracy(Standing) Raw'!O43+Analysis!C43</f>
        <v>12.200790247919851</v>
      </c>
      <c r="P43" s="114">
        <f>'Firing Inaccuracy(Standing) Raw'!P43+Analysis!C43</f>
        <v>12.202158707651879</v>
      </c>
      <c r="Q43" s="114">
        <f>'Firing Inaccuracy(Standing) Raw'!Q43+Analysis!C43</f>
        <v>12.202633991056295</v>
      </c>
      <c r="R43" s="114">
        <f>'Firing Inaccuracy(Standing) Raw'!R43+Analysis!C43</f>
        <v>12.202799063004868</v>
      </c>
      <c r="S43" s="114">
        <f>'Firing Inaccuracy(Standing) Raw'!S43+Analysis!C43</f>
        <v>12.202856394584202</v>
      </c>
      <c r="T43" s="114">
        <f>'Firing Inaccuracy(Standing) Raw'!T43+Analysis!C43</f>
        <v>12.202876306568143</v>
      </c>
      <c r="U43" s="114">
        <f>'Firing Inaccuracy(Standing) Raw'!U43+Analysis!C43</f>
        <v>12.202883222252467</v>
      </c>
      <c r="V43" s="114">
        <f>'Firing Inaccuracy(Standing) Raw'!V43+Analysis!C43</f>
        <v>12.202885624157258</v>
      </c>
      <c r="W43" s="114">
        <f>'Firing Inaccuracy(Standing) Raw'!W43+Analysis!C43</f>
        <v>12.202886458369225</v>
      </c>
      <c r="X43" s="114">
        <f>'Firing Inaccuracy(Standing) Raw'!X43+Analysis!C43</f>
        <v>12.202886748101612</v>
      </c>
      <c r="Y43" s="114">
        <f>'Firing Inaccuracy(Standing) Raw'!Y43+Analysis!C43</f>
        <v>12.202886848729342</v>
      </c>
      <c r="Z43" s="21">
        <f>'Firing Inaccuracy(Standing) Raw'!Z43+Analysis!C43</f>
        <v>12.20288688367863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spans="1:36" ht="15.75" customHeight="1" x14ac:dyDescent="0.15">
      <c r="A44" s="35" t="s">
        <v>180</v>
      </c>
      <c r="B44" s="83">
        <f>'Firing Inaccuracy(Standing) Raw'!B44</f>
        <v>0.25</v>
      </c>
      <c r="C44" s="15">
        <f>'Firing Inaccuracy(Standing) Raw'!C44</f>
        <v>18.61</v>
      </c>
      <c r="D44" s="22">
        <f>'Firing Inaccuracy(Standing) Raw'!D44</f>
        <v>0.54433100000000001</v>
      </c>
      <c r="E44" s="33" t="str">
        <f>'Firing Inaccuracy(Standing) Raw'!E44</f>
        <v>N/A</v>
      </c>
      <c r="F44" s="176">
        <f>'Firing Inaccuracy(Standing) Raw'!F44</f>
        <v>0</v>
      </c>
      <c r="G44" s="21">
        <f>'Firing Inaccuracy(Standing) Raw'!G44+Analysis!C44</f>
        <v>2.2999999999999998</v>
      </c>
      <c r="H44" s="114">
        <f>'Firing Inaccuracy(Standing) Raw'!H44+Analysis!C44</f>
        <v>8.7634888036064353</v>
      </c>
      <c r="I44" s="114">
        <f>'Firing Inaccuracy(Standing) Raw'!I44+Analysis!C44</f>
        <v>11.008340362679284</v>
      </c>
      <c r="J44" s="114">
        <f>'Firing Inaccuracy(Standing) Raw'!J44+Analysis!C44</f>
        <v>11.788005753212644</v>
      </c>
      <c r="K44" s="114">
        <f>'Firing Inaccuracy(Standing) Raw'!K44+Analysis!C44</f>
        <v>12.058793422329884</v>
      </c>
      <c r="L44" s="114">
        <f>'Firing Inaccuracy(Standing) Raw'!L44+Analysis!C44</f>
        <v>12.152841410910966</v>
      </c>
      <c r="M44" s="114">
        <f>'Firing Inaccuracy(Standing) Raw'!M44+Analysis!C44</f>
        <v>12.185505469008522</v>
      </c>
      <c r="N44" s="114">
        <f>'Firing Inaccuracy(Standing) Raw'!N44+Analysis!C44</f>
        <v>12.196850110265583</v>
      </c>
      <c r="O44" s="114">
        <f>'Firing Inaccuracy(Standing) Raw'!O44+Analysis!C44</f>
        <v>12.200790247919851</v>
      </c>
      <c r="P44" s="114">
        <f>'Firing Inaccuracy(Standing) Raw'!P44+Analysis!C44</f>
        <v>12.202158707651879</v>
      </c>
      <c r="Q44" s="114">
        <f>'Firing Inaccuracy(Standing) Raw'!Q44+Analysis!C44</f>
        <v>12.202633991056295</v>
      </c>
      <c r="R44" s="114">
        <f>'Firing Inaccuracy(Standing) Raw'!R44+Analysis!C44</f>
        <v>12.202799063004868</v>
      </c>
      <c r="S44" s="114">
        <f>'Firing Inaccuracy(Standing) Raw'!S44+Analysis!C44</f>
        <v>12.202856394584202</v>
      </c>
      <c r="T44" s="114">
        <f>'Firing Inaccuracy(Standing) Raw'!T44+Analysis!C44</f>
        <v>12.202876306568143</v>
      </c>
      <c r="U44" s="114">
        <f>'Firing Inaccuracy(Standing) Raw'!U44+Analysis!C44</f>
        <v>12.202883222252467</v>
      </c>
      <c r="V44" s="114">
        <f>'Firing Inaccuracy(Standing) Raw'!V44+Analysis!C44</f>
        <v>12.202885624157258</v>
      </c>
      <c r="W44" s="114">
        <f>'Firing Inaccuracy(Standing) Raw'!W44+Analysis!C44</f>
        <v>12.202886458369225</v>
      </c>
      <c r="X44" s="114">
        <f>'Firing Inaccuracy(Standing) Raw'!X44+Analysis!C44</f>
        <v>12.202886748101612</v>
      </c>
      <c r="Y44" s="114">
        <f>'Firing Inaccuracy(Standing) Raw'!Y44+Analysis!C44</f>
        <v>12.202886848729342</v>
      </c>
      <c r="Z44" s="21">
        <f>'Firing Inaccuracy(Standing) Raw'!Z44+Analysis!C44</f>
        <v>12.20288688367863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spans="1:36" ht="15.75" customHeight="1" x14ac:dyDescent="0.15">
      <c r="A45" s="9" t="s">
        <v>181</v>
      </c>
      <c r="B45" s="83">
        <f>'Firing Inaccuracy(Standing) Raw'!B45</f>
        <v>1.25</v>
      </c>
      <c r="C45" s="15">
        <f>'Firing Inaccuracy(Standing) Raw'!C45</f>
        <v>22.92</v>
      </c>
      <c r="D45" s="22">
        <f>'Firing Inaccuracy(Standing) Raw'!D45</f>
        <v>0.142096</v>
      </c>
      <c r="E45" s="33" t="str">
        <f>'Firing Inaccuracy(Standing) Raw'!E45</f>
        <v>N/A</v>
      </c>
      <c r="F45" s="176">
        <f>'Firing Inaccuracy(Standing) Raw'!F45</f>
        <v>0</v>
      </c>
      <c r="G45" s="21">
        <f>'Firing Inaccuracy(Standing) Raw'!G45+Analysis!C45</f>
        <v>3.23</v>
      </c>
      <c r="H45" s="114">
        <f>'Firing Inaccuracy(Standing) Raw'!H45+Analysis!C45</f>
        <v>3.2300000365885242</v>
      </c>
      <c r="I45" s="114">
        <f>'Firing Inaccuracy(Standing) Raw'!I45+Analysis!C45</f>
        <v>3.2300000365885242</v>
      </c>
      <c r="J45" s="114">
        <f>'Firing Inaccuracy(Standing) Raw'!J45+Analysis!C45</f>
        <v>3.2300000365885242</v>
      </c>
      <c r="K45" s="114">
        <f>'Firing Inaccuracy(Standing) Raw'!K45+Analysis!C45</f>
        <v>3.2300000365885242</v>
      </c>
      <c r="L45" s="114">
        <f>'Firing Inaccuracy(Standing) Raw'!L45+Analysis!C45</f>
        <v>3.2300000365885242</v>
      </c>
      <c r="M45" s="114">
        <f>'Firing Inaccuracy(Standing) Raw'!M45+Analysis!C45</f>
        <v>3.2300000365885242</v>
      </c>
      <c r="N45" s="114">
        <f>'Firing Inaccuracy(Standing) Raw'!N45+Analysis!C45</f>
        <v>3.2300000365885242</v>
      </c>
      <c r="O45" s="114">
        <f>'Firing Inaccuracy(Standing) Raw'!O45+Analysis!C45</f>
        <v>3.2300000365885242</v>
      </c>
      <c r="P45" s="114">
        <f>'Firing Inaccuracy(Standing) Raw'!P45+Analysis!C45</f>
        <v>3.2300000365885242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" width="11.6640625" customWidth="1"/>
    <col min="6" max="6" width="4.5" customWidth="1"/>
    <col min="7" max="36" width="11.6640625" customWidth="1"/>
  </cols>
  <sheetData>
    <row r="1" spans="1:36" ht="15.75" customHeight="1" x14ac:dyDescent="0.15">
      <c r="A1" s="1" t="s">
        <v>0</v>
      </c>
      <c r="B1" s="69" t="s">
        <v>95</v>
      </c>
      <c r="C1" s="4" t="s">
        <v>234</v>
      </c>
      <c r="D1" s="7" t="s">
        <v>26</v>
      </c>
      <c r="E1" s="7" t="s">
        <v>237</v>
      </c>
      <c r="F1" s="174"/>
      <c r="G1" s="175">
        <v>1</v>
      </c>
      <c r="H1" s="175">
        <v>2</v>
      </c>
      <c r="I1" s="175">
        <v>3</v>
      </c>
      <c r="J1" s="175">
        <v>4</v>
      </c>
      <c r="K1" s="175">
        <v>5</v>
      </c>
      <c r="L1" s="175">
        <v>6</v>
      </c>
      <c r="M1" s="175">
        <v>7</v>
      </c>
      <c r="N1" s="175">
        <v>8</v>
      </c>
      <c r="O1" s="175">
        <v>9</v>
      </c>
      <c r="P1" s="175">
        <v>10</v>
      </c>
      <c r="Q1" s="175">
        <v>11</v>
      </c>
      <c r="R1" s="175">
        <v>12</v>
      </c>
      <c r="S1" s="175">
        <v>13</v>
      </c>
      <c r="T1" s="175">
        <v>14</v>
      </c>
      <c r="U1" s="175">
        <v>15</v>
      </c>
      <c r="V1" s="175">
        <v>16</v>
      </c>
      <c r="W1" s="175">
        <v>17</v>
      </c>
      <c r="X1" s="175">
        <v>18</v>
      </c>
      <c r="Y1" s="175">
        <v>19</v>
      </c>
      <c r="Z1" s="175">
        <v>20</v>
      </c>
      <c r="AA1" s="175">
        <v>21</v>
      </c>
      <c r="AB1" s="175">
        <v>22</v>
      </c>
      <c r="AC1" s="175">
        <v>23</v>
      </c>
      <c r="AD1" s="175">
        <v>24</v>
      </c>
      <c r="AE1" s="175">
        <v>25</v>
      </c>
      <c r="AF1" s="175">
        <v>26</v>
      </c>
      <c r="AG1" s="175">
        <v>27</v>
      </c>
      <c r="AH1" s="175">
        <v>28</v>
      </c>
      <c r="AI1" s="175">
        <v>29</v>
      </c>
      <c r="AJ1" s="175">
        <v>30</v>
      </c>
    </row>
    <row r="2" spans="1:36" ht="15.75" customHeight="1" x14ac:dyDescent="0.15">
      <c r="A2" s="9" t="s">
        <v>142</v>
      </c>
      <c r="B2" s="83">
        <f>'Raw Values'!F2</f>
        <v>0.22500000000000001</v>
      </c>
      <c r="C2" s="15">
        <f>'Raw Values'!V2</f>
        <v>72.23</v>
      </c>
      <c r="D2" s="22">
        <f>'Raw Values'!AC2</f>
        <v>0.44992700000000002</v>
      </c>
      <c r="E2" s="33" t="s">
        <v>236</v>
      </c>
      <c r="F2" s="176"/>
      <c r="G2" s="21">
        <v>0</v>
      </c>
      <c r="H2" s="114">
        <f>('Raw Values'!$V2)*(0.1^('Raw Values'!$F2/'Raw Values'!$AC2))</f>
        <v>22.83686531641656</v>
      </c>
      <c r="I2" s="114">
        <f>('Raw Values'!$V2+H2)*(0.1^('Raw Values'!$F2/'Raw Values'!$AC2))</f>
        <v>30.057167372074176</v>
      </c>
      <c r="J2" s="114">
        <f>('Raw Values'!$V2+I2)*(0.1^('Raw Values'!$F2/'Raw Values'!$AC2))</f>
        <v>32.340000898156113</v>
      </c>
      <c r="K2" s="114">
        <f>('Raw Values'!$V2+J2)*(0.1^('Raw Values'!$F2/Analysis!$AB2))</f>
        <v>33.0617614100616</v>
      </c>
      <c r="L2" s="114">
        <f>('Raw Values'!$V2+K2)*(0.1^('Raw Values'!$F2/Analysis!$AC2))</f>
        <v>33.289959493975402</v>
      </c>
      <c r="M2" s="114">
        <f>('Raw Values'!$V2+L2)*(0.1^('Raw Values'!$F2/Analysis!$AD2))</f>
        <v>33.362108585873557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spans="1:36" ht="15.75" customHeight="1" x14ac:dyDescent="0.15">
      <c r="A3" s="9" t="s">
        <v>144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">
        <v>236</v>
      </c>
      <c r="F3" s="176"/>
      <c r="G3" s="21">
        <v>0</v>
      </c>
      <c r="H3" s="114">
        <f>('Raw Values'!$AM3)*(0.1^('Raw Values'!$AY3/'Raw Values'!$AC3))</f>
        <v>14.754826874038493</v>
      </c>
      <c r="I3" s="114">
        <f>('Raw Values'!$AM3+H3)*(0.1^('Raw Values'!$AY3/'Raw Values'!$AC3))</f>
        <v>18.713098075544828</v>
      </c>
      <c r="J3" s="114">
        <f>('Raw Values'!$AM3+I3)*(0.1^('Raw Values'!$AY3/'Raw Values'!$AC3))</f>
        <v>19.774981826430615</v>
      </c>
      <c r="K3" s="114">
        <f>('Raw Values'!$AM3+J3)*(0.1^('Raw Values'!$AY3/'Raw Values'!$AC3))</f>
        <v>20.059852933788335</v>
      </c>
      <c r="L3" s="114">
        <f>('Raw Values'!$AM3+K3)*(0.1^('Raw Values'!$AY3/'Raw Values'!$AC3))</f>
        <v>20.136275185978857</v>
      </c>
      <c r="M3" s="114">
        <f>('Raw Values'!$AM3+L3)*(0.1^('Raw Values'!$AY3/'Raw Values'!$AC3))</f>
        <v>20.156776951440591</v>
      </c>
      <c r="N3" s="114">
        <f>('Raw Values'!$AM3+M3)*(0.1^('Raw Values'!$AY3/'Raw Values'!$AC3))</f>
        <v>20.162276951440589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5.75" customHeight="1" x14ac:dyDescent="0.15">
      <c r="A4" s="9" t="s">
        <v>145</v>
      </c>
      <c r="B4" s="83">
        <f>'Raw Values'!F4</f>
        <v>0.12</v>
      </c>
      <c r="C4" s="15">
        <f>'Raw Values'!V4</f>
        <v>11.16</v>
      </c>
      <c r="D4" s="22">
        <f>'Raw Values'!AC4</f>
        <v>0.43749100000000002</v>
      </c>
      <c r="E4" s="33" t="s">
        <v>236</v>
      </c>
      <c r="F4" s="176"/>
      <c r="G4" s="21">
        <v>0</v>
      </c>
      <c r="H4" s="114">
        <f>('Raw Values'!$V4)*(0.1^('Raw Values'!$F4/'Raw Values'!$AC4))</f>
        <v>5.934345639829222</v>
      </c>
      <c r="I4" s="114">
        <f>('Raw Values'!$AM4+H4)*(0.1^('Raw Values'!$F4/'Raw Values'!$AC4))</f>
        <v>9.5153433714442279</v>
      </c>
      <c r="J4" s="114">
        <f>('Raw Values'!$V4+I4)*(0.1^('Raw Values'!$F4/'Raw Values'!$AC4))</f>
        <v>10.994142812571869</v>
      </c>
      <c r="K4" s="114">
        <f>('Raw Values'!$AM4+J4)*(0.1^('Raw Values'!$F4/Analysis!$AB4))</f>
        <v>12.205897608942935</v>
      </c>
      <c r="L4" s="114">
        <f>('Raw Values'!$V4+K4)*(0.1^('Raw Values'!$F4/Analysis!$AC4))</f>
        <v>12.424848798953994</v>
      </c>
      <c r="M4" s="114">
        <f>('Raw Values'!$AM4+L4)*(0.1^('Raw Values'!$F4/Analysis!$AD4))</f>
        <v>12.966677522219308</v>
      </c>
      <c r="N4" s="114">
        <f>('Raw Values'!$V4+M4)*(0.1^('Raw Values'!$F4/Analysis!$AE4))</f>
        <v>12.829394584009664</v>
      </c>
      <c r="O4" s="114">
        <f>('Raw Values'!$AM4+N4)*(0.1^('Raw Values'!$F4/Analysis!$AF4))</f>
        <v>13.181795310360561</v>
      </c>
      <c r="P4" s="114">
        <f>('Raw Values'!$V4+O4)*(0.1^('Raw Values'!$F4/Analysis!$AG4))</f>
        <v>12.943783769323799</v>
      </c>
      <c r="Q4" s="114">
        <f>('Raw Values'!$AM4+P4)*(0.1^('Raw Values'!$F4/'Raw Values'!$AD4))</f>
        <v>13.242621919958463</v>
      </c>
      <c r="R4" s="114">
        <f>('Raw Values'!$V4+Q4)*(0.1^('Raw Values'!$F4/'Raw Values'!$AD4))</f>
        <v>12.976128404221013</v>
      </c>
      <c r="S4" s="114">
        <f>('Raw Values'!$AM4+R4)*(0.1^('Raw Values'!$F4/'Raw Values'!$AD4))</f>
        <v>13.259821224893424</v>
      </c>
      <c r="T4" s="114">
        <f>('Raw Values'!$V4+S4)*(0.1^('Raw Values'!$F4/'Raw Values'!$AD4))</f>
        <v>12.985274158723602</v>
      </c>
      <c r="U4" s="114">
        <f>('Raw Values'!$AM4+T4)*(0.1^('Raw Values'!$F4/'Raw Values'!$AD4))</f>
        <v>13.264684492667202</v>
      </c>
      <c r="V4" s="114">
        <f>('Raw Values'!$V4+U4)*(0.1^('Raw Values'!$F4/'Raw Values'!$AD4))</f>
        <v>12.98786020817778</v>
      </c>
      <c r="W4" s="114">
        <f>('Raw Values'!$AM4+V4)*(0.1^('Raw Values'!$F4/'Raw Values'!$AD4))</f>
        <v>13.266059628088598</v>
      </c>
      <c r="X4" s="114">
        <f>('Raw Values'!$V4+W4)*(0.1^('Raw Values'!$F4/'Raw Values'!$AD4))</f>
        <v>12.988591438365248</v>
      </c>
      <c r="Y4" s="114">
        <f>('Raw Values'!$AM4+X4)*(0.1^('Raw Values'!$F4/'Raw Values'!$AD4))</f>
        <v>13.266448460765544</v>
      </c>
      <c r="Z4" s="114">
        <f>('Raw Values'!$V4+Y4)*(0.1^('Raw Values'!$F4/'Raw Values'!$AD4))</f>
        <v>12.98879820068613</v>
      </c>
      <c r="AA4" s="114">
        <f>('Raw Values'!$AM4+Z4)*(0.1^('Raw Values'!$F4/'Raw Values'!$AD4))</f>
        <v>13.266558406919433</v>
      </c>
      <c r="AB4" s="114">
        <f>('Raw Values'!$V4+AA4)*(0.1^('Raw Values'!$F4/'Raw Values'!$AD4))</f>
        <v>12.988856664707541</v>
      </c>
      <c r="AC4" s="114">
        <f>('Raw Values'!$AM4+AB4)*(0.1^('Raw Values'!$F4/'Raw Values'!$AD4))</f>
        <v>13.266589495244752</v>
      </c>
      <c r="AD4" s="114">
        <f>('Raw Values'!$V4+AC4)*(0.1^('Raw Values'!$F4/'Raw Values'!$AD4))</f>
        <v>12.988873195968097</v>
      </c>
      <c r="AE4" s="114">
        <f>('Raw Values'!$AM4+AD4)*(0.1^('Raw Values'!$F4/'Raw Values'!$AD4))</f>
        <v>13.266598285765719</v>
      </c>
      <c r="AF4" s="114">
        <f>('Raw Values'!$V4+AE4)*(0.1^('Raw Values'!$F4/'Raw Values'!$AD4))</f>
        <v>12.988877870339941</v>
      </c>
      <c r="AG4" s="114">
        <f>('Raw Values'!$AM4+AF4)*(0.1^('Raw Values'!$F4/'Raw Values'!$AD4))</f>
        <v>13.266600771369498</v>
      </c>
      <c r="AH4" s="114">
        <f>('Raw Values'!$V4+AG4)*(0.1^('Raw Values'!$F4/'Raw Values'!$AD4))</f>
        <v>12.988879192063235</v>
      </c>
      <c r="AI4" s="114">
        <f>('Raw Values'!$AM4+AH4)*(0.1^('Raw Values'!$F4/'Raw Values'!$AD4))</f>
        <v>13.266601474197714</v>
      </c>
      <c r="AJ4" s="114">
        <f>('Raw Values'!$V4+AI4)*(0.1^('Raw Values'!$F4/'Raw Values'!$AD4))</f>
        <v>12.988879565793123</v>
      </c>
    </row>
    <row r="5" spans="1:36" ht="15.75" customHeight="1" x14ac:dyDescent="0.15">
      <c r="A5" s="35" t="s">
        <v>146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22">
        <f>'Raw Values'!AD5</f>
        <v>0.5</v>
      </c>
      <c r="F5" s="176"/>
      <c r="G5" s="21">
        <v>0</v>
      </c>
      <c r="H5" s="114">
        <f>('Raw Values'!$V5)*(0.1^('Raw Values'!$F5/Analysis!$Y5))</f>
        <v>6.6224232190263219</v>
      </c>
      <c r="I5" s="114">
        <f>('Raw Values'!$V5+H5)*(0.1^('Raw Values'!$F5/Analysis!$Z5))</f>
        <v>10.745958196424183</v>
      </c>
      <c r="J5" s="114">
        <f>('Raw Values'!$V5+I5)*(0.1^('Raw Values'!$F5/Analysis!$AA5))</f>
        <v>14.40423177997212</v>
      </c>
      <c r="K5" s="114">
        <f>('Raw Values'!$V5+J5)*(0.1^('Raw Values'!$F5/Analysis!$AB5))</f>
        <v>17.973546271684381</v>
      </c>
      <c r="L5" s="114">
        <f>('Raw Values'!$V5+K5)*(0.1^('Raw Values'!$F5/'Raw Values'!$AD5))</f>
        <v>21.537792775059081</v>
      </c>
      <c r="M5" s="114">
        <f>('Raw Values'!$V5+L5)*(0.1^('Raw Values'!$F5/'Raw Values'!$AD5))</f>
        <v>23.324147620051122</v>
      </c>
      <c r="N5" s="114">
        <f>('Raw Values'!$V5+M5)*(0.1^('Raw Values'!$F5/'Raw Values'!$AD5))</f>
        <v>24.219445863089359</v>
      </c>
      <c r="O5" s="114">
        <f>('Raw Values'!$V5+N5)*(0.1^('Raw Values'!$F5/'Raw Values'!$AD5))</f>
        <v>24.668157912789052</v>
      </c>
      <c r="P5" s="114">
        <f>('Raw Values'!$V5+O5)*(0.1^('Raw Values'!$F5/'Raw Values'!$AD5))</f>
        <v>24.893046663673264</v>
      </c>
      <c r="Q5" s="114">
        <f>('Raw Values'!$V5+P5)*(0.1^('Raw Values'!$F5/'Raw Values'!$AD5))</f>
        <v>25.005758034602813</v>
      </c>
      <c r="R5" s="114">
        <f>('Raw Values'!$V5+Q5)*(0.1^('Raw Values'!$F5/'Raw Values'!$AD5))</f>
        <v>25.062247534797333</v>
      </c>
      <c r="S5" s="114">
        <f>('Raw Values'!$V5+R5)*(0.1^('Raw Values'!$F5/'Raw Values'!$AD5))</f>
        <v>25.090559351128814</v>
      </c>
      <c r="T5" s="114">
        <f>('Raw Values'!$V5+S5)*(0.1^('Raw Values'!$F5/'Raw Values'!$AD5))</f>
        <v>25.10474887203495</v>
      </c>
      <c r="U5" s="114">
        <f>('Raw Values'!$V5+T5)*(0.1^('Raw Values'!$F5/'Raw Values'!$AD5))</f>
        <v>25.111860478764388</v>
      </c>
      <c r="V5" s="114">
        <f>('Raw Values'!$V5+U5)*(0.1^('Raw Values'!$F5/'Raw Values'!$AD5))</f>
        <v>25.115424725267761</v>
      </c>
      <c r="W5" s="114">
        <f>('Raw Values'!$V5+V5)*(0.1^('Raw Values'!$F5/'Raw Values'!$AD5))</f>
        <v>25.117211080112753</v>
      </c>
      <c r="X5" s="114">
        <f>('Raw Values'!$V5+W5)*(0.1^('Raw Values'!$F5/'Raw Values'!$AD5))</f>
        <v>25.118106378355794</v>
      </c>
      <c r="Y5" s="114">
        <f>('Raw Values'!$V5+X5)*(0.1^('Raw Values'!$F5/'Raw Values'!$AD5))</f>
        <v>25.118555090405494</v>
      </c>
      <c r="Z5" s="114">
        <f>('Raw Values'!$V5+Y5)*(0.1^('Raw Values'!$F5/'Raw Values'!$AD5))</f>
        <v>25.118779979156379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spans="1:36" ht="15.75" customHeight="1" x14ac:dyDescent="0.15">
      <c r="A6" s="36" t="s">
        <v>147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22">
        <f>'Raw Values'!AD6</f>
        <v>0.33</v>
      </c>
      <c r="F6" s="176"/>
      <c r="G6" s="21">
        <v>0</v>
      </c>
      <c r="H6" s="114">
        <f>('Raw Values'!$V6)*(0.1^('Raw Values'!$F6/Analysis!$Y6))</f>
        <v>12.14706101167155</v>
      </c>
      <c r="I6" s="114">
        <f>('Raw Values'!$V6+H6)*(0.1^('Raw Values'!$F6/Analysis!$Z6))</f>
        <v>17.306491581547274</v>
      </c>
      <c r="J6" s="114">
        <f>('Raw Values'!$V6+I6)*(0.1^('Raw Values'!$F6/Analysis!$AA6))</f>
        <v>21.16284687187806</v>
      </c>
      <c r="K6" s="114">
        <f>('Raw Values'!$V6+J6)*(0.1^('Raw Values'!$F6/Analysis!$AB6))</f>
        <v>24.773489823411701</v>
      </c>
      <c r="L6" s="114">
        <f>('Raw Values'!$V6+K6)*(0.1^('Raw Values'!$F6/'Raw Values'!$AD6))</f>
        <v>28.361120981167318</v>
      </c>
      <c r="M6" s="114">
        <f>('Raw Values'!$V6+L6)*(0.1^('Raw Values'!$F6/'Raw Values'!$AD6))</f>
        <v>29.62080706781974</v>
      </c>
      <c r="N6" s="114">
        <f>('Raw Values'!$V6+M6)*(0.1^('Raw Values'!$F6/'Raw Values'!$AD6))</f>
        <v>30.06310700533572</v>
      </c>
      <c r="O6" s="114">
        <f>('Raw Values'!$V6+N6)*(0.1^('Raw Values'!$F6/'Raw Values'!$AD6))</f>
        <v>30.21840699380072</v>
      </c>
      <c r="P6" s="114">
        <f>('Raw Values'!$V6+O6)*(0.1^('Raw Values'!$F6/'Raw Values'!$AD6))</f>
        <v>30.272935797382921</v>
      </c>
      <c r="Q6" s="114">
        <f>('Raw Values'!$V6+P6)*(0.1^('Raw Values'!$F6/'Raw Values'!$AD6))</f>
        <v>30.292081905824368</v>
      </c>
      <c r="R6" s="114">
        <f>('Raw Values'!$V6+Q6)*(0.1^('Raw Values'!$F6/'Raw Values'!$AD6))</f>
        <v>30.298804471594568</v>
      </c>
      <c r="S6" s="114">
        <f>('Raw Values'!$V6+R6)*(0.1^('Raw Values'!$F6/'Raw Values'!$AD6))</f>
        <v>30.301164893331066</v>
      </c>
      <c r="T6" s="114">
        <f>('Raw Values'!$V6+S6)*(0.1^('Raw Values'!$F6/'Raw Values'!$AD6))</f>
        <v>30.301993682660115</v>
      </c>
      <c r="U6" s="114">
        <f>('Raw Values'!$V6+T6)*(0.1^('Raw Values'!$F6/'Raw Values'!$AD6))</f>
        <v>30.302284686484271</v>
      </c>
      <c r="V6" s="114">
        <f>('Raw Values'!$V6+U6)*(0.1^('Raw Values'!$F6/'Raw Values'!$AD6))</f>
        <v>30.30238686350647</v>
      </c>
      <c r="W6" s="114">
        <f>('Raw Values'!$V6+V6)*(0.1^('Raw Values'!$F6/'Raw Values'!$AD6))</f>
        <v>30.302422739818049</v>
      </c>
      <c r="X6" s="114">
        <f>('Raw Values'!$V6+W6)*(0.1^('Raw Values'!$F6/'Raw Values'!$AD6))</f>
        <v>30.302435336678911</v>
      </c>
      <c r="Y6" s="114">
        <f>('Raw Values'!$V6+X6)*(0.1^('Raw Values'!$F6/'Raw Values'!$AD6))</f>
        <v>30.30243975967829</v>
      </c>
      <c r="Z6" s="114">
        <f>('Raw Values'!$V6+Y6)*(0.1^('Raw Values'!$F6/'Raw Values'!$AD6))</f>
        <v>30.302441312678177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spans="1:36" ht="15.75" customHeight="1" x14ac:dyDescent="0.15">
      <c r="A7" s="35" t="s">
        <v>148</v>
      </c>
      <c r="B7" s="83">
        <f>'Raw Values'!F7</f>
        <v>0.17</v>
      </c>
      <c r="C7" s="15">
        <f>'Raw Values'!V7</f>
        <v>50</v>
      </c>
      <c r="D7" s="22">
        <f>'Raw Values'!AC7</f>
        <v>0.29127700000000001</v>
      </c>
      <c r="E7" s="33" t="s">
        <v>236</v>
      </c>
      <c r="F7" s="176"/>
      <c r="G7" s="21">
        <v>0</v>
      </c>
      <c r="H7" s="114">
        <f>('Raw Values'!$V7)*(0.1^('Raw Values'!$F7/'Raw Values'!$AC7))</f>
        <v>13.041667470558894</v>
      </c>
      <c r="I7" s="114">
        <f>('Raw Values'!$V7+H7)*(0.1^('Raw Values'!$F7/'Raw Values'!$AC7))</f>
        <v>16.443369278811574</v>
      </c>
      <c r="J7" s="114">
        <f>('Raw Values'!$V7+I7)*(0.1^('Raw Values'!$F7/'Raw Values'!$AC7))</f>
        <v>17.330646555156179</v>
      </c>
      <c r="K7" s="114">
        <f>('Raw Values'!$V7+J7)*(0.1^('Raw Values'!$F7/Analysis!$AB7))</f>
        <v>17.562078059001571</v>
      </c>
      <c r="L7" s="114">
        <f>('Raw Values'!$V7+K7)*(0.1^('Raw Values'!$F7/Analysis!$AC7))</f>
        <v>17.622443113308833</v>
      </c>
      <c r="M7" s="114">
        <f>('Raw Values'!$V7+L7)*(0.1^('Raw Values'!$F7/Analysis!$AD7))</f>
        <v>17.638188332611183</v>
      </c>
      <c r="N7" s="114">
        <f>('Raw Values'!$V7+M7)*(0.1^('Raw Values'!$F7/Analysis!$AE7))</f>
        <v>17.642295210899025</v>
      </c>
      <c r="O7" s="114">
        <f>('Raw Values'!$V7+N7)*(0.1^('Raw Values'!$F7/Analysis!$AF7))</f>
        <v>17.643366421718468</v>
      </c>
      <c r="P7" s="114">
        <f>('Raw Values'!$V7+O7)*(0.1^('Raw Values'!$F7/Analysis!$AG7))</f>
        <v>17.643645829224429</v>
      </c>
      <c r="Q7" s="114">
        <f>('Raw Values'!$V7+P7)*(0.1^('Raw Values'!$F7/'Raw Values'!$AD7))</f>
        <v>17.64371870802006</v>
      </c>
      <c r="R7" s="114">
        <f>('Raw Values'!$V7+Q7)*(0.1^('Raw Values'!$F7/'Raw Values'!$AD7))</f>
        <v>17.643737717240427</v>
      </c>
      <c r="S7" s="114">
        <f>('Raw Values'!$V7+R7)*(0.1^('Raw Values'!$F7/'Raw Values'!$AD7))</f>
        <v>17.643742675479043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spans="1:36" ht="15.75" customHeight="1" x14ac:dyDescent="0.15">
      <c r="A8" s="35" t="s">
        <v>149</v>
      </c>
      <c r="B8" s="83">
        <f>'Raw Values'!F8</f>
        <v>0.17</v>
      </c>
      <c r="C8" s="15">
        <f>'Raw Values'!AM8</f>
        <v>52</v>
      </c>
      <c r="D8" s="22">
        <f>'Raw Values'!AC8</f>
        <v>0.29127700000000001</v>
      </c>
      <c r="E8" s="33" t="s">
        <v>236</v>
      </c>
      <c r="F8" s="176"/>
      <c r="G8" s="21">
        <v>0</v>
      </c>
      <c r="H8" s="114">
        <f>('Raw Values'!$AM8)*(0.1^('Raw Values'!$F8/'Raw Values'!$AC8))</f>
        <v>13.56333416938125</v>
      </c>
      <c r="I8" s="114">
        <f>('Raw Values'!$AM8+H8)*(0.1^('Raw Values'!$F8/'Raw Values'!$AC8))</f>
        <v>17.101104049964036</v>
      </c>
      <c r="J8" s="114">
        <f>('Raw Values'!$AM8+I8)*(0.1^('Raw Values'!$F8/'Raw Values'!$AC8))</f>
        <v>18.023872417362426</v>
      </c>
      <c r="K8" s="114">
        <f>('Raw Values'!$AM8+J8)*(0.1^('Raw Values'!$F8/Analysis!$AB8))</f>
        <v>18.264561181361632</v>
      </c>
      <c r="L8" s="114">
        <f>('Raw Values'!$AM8+K8)*(0.1^('Raw Values'!$F8/Analysis!$AC8))</f>
        <v>18.327340837841181</v>
      </c>
      <c r="M8" s="114">
        <f>('Raw Values'!$AM8+L8)*(0.1^('Raw Values'!$F8/Analysis!$AD8))</f>
        <v>18.343715865915627</v>
      </c>
      <c r="N8" s="114">
        <f>('Raw Values'!$AM8+M8)*(0.1^('Raw Values'!$F8/Analysis!$AE8))</f>
        <v>18.347987019334987</v>
      </c>
      <c r="O8" s="114">
        <f>('Raw Values'!$AM8+N8)*(0.1^('Raw Values'!$F8/Analysis!$AF8))</f>
        <v>18.349101078587211</v>
      </c>
      <c r="P8" s="114">
        <f>('Raw Values'!$AM8+O8)*(0.1^('Raw Values'!$F8/Analysis!$AG8))</f>
        <v>18.349391662393408</v>
      </c>
      <c r="Q8" s="114">
        <f>('Raw Values'!$AM8+P8)*(0.1^('Raw Values'!$F8/'Raw Values'!$AD8))</f>
        <v>18.349467456340861</v>
      </c>
      <c r="R8" s="114">
        <f>('Raw Values'!$AM8+Q8)*(0.1^('Raw Values'!$F8/'Raw Values'!$AD8))</f>
        <v>18.349487225930041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spans="1:36" ht="15.75" customHeight="1" x14ac:dyDescent="0.15">
      <c r="A9" s="9" t="s">
        <v>150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">
        <v>236</v>
      </c>
      <c r="F9" s="176"/>
      <c r="G9" s="21">
        <v>0</v>
      </c>
      <c r="H9" s="114">
        <f>('Raw Values'!$V9)*(0.1^('Raw Values'!$F9/'Raw Values'!$AC9))</f>
        <v>15.797627416182515</v>
      </c>
      <c r="I9" s="114">
        <f>('Raw Values'!$V9+H9)*(0.1^('Raw Values'!$F9/'Raw Values'!$AC9))</f>
        <v>20.555778645553755</v>
      </c>
      <c r="J9" s="114">
        <f>('Raw Values'!$V9+I9)*(0.1^('Raw Values'!$F9/'Raw Values'!$AC9))</f>
        <v>21.988905438908521</v>
      </c>
      <c r="K9" s="114">
        <f>('Raw Values'!$V9+J9)*(0.1^('Raw Values'!$F9/Analysis!$AB9))</f>
        <v>22.420554688128099</v>
      </c>
      <c r="L9" s="114">
        <f>('Raw Values'!$V9+K9)*(0.1^('Raw Values'!$F9/Analysis!$AC9))</f>
        <v>22.550564869513149</v>
      </c>
      <c r="M9" s="114">
        <f>('Raw Values'!$V9+L9)*(0.1^('Raw Values'!$F9/Analysis!$AD9))</f>
        <v>22.589723161330717</v>
      </c>
      <c r="N9" s="114">
        <f>('Raw Values'!$V9+M9)*(0.1^('Raw Values'!$F9/Analysis!$AE9))</f>
        <v>22.601517405456324</v>
      </c>
      <c r="O9" s="114">
        <f>('Raw Values'!$V9+N9)*(0.1^('Raw Values'!$F9/Analysis!$AF9))</f>
        <v>22.605069761497347</v>
      </c>
      <c r="P9" s="114">
        <f>('Raw Values'!$V9+O9)*(0.1^('Raw Values'!$F9/Analysis!$AG9))</f>
        <v>22.606139709966094</v>
      </c>
      <c r="Q9" s="114">
        <f>('Raw Values'!$V9+P9)*(0.1^('Raw Values'!$F9/'Raw Values'!$AD9))</f>
        <v>22.606461972068356</v>
      </c>
      <c r="R9" s="114">
        <f>('Raw Values'!$V9+Q9)*(0.1^('Raw Values'!$F9/'Raw Values'!$AD9))</f>
        <v>22.606559035492992</v>
      </c>
      <c r="S9" s="114">
        <f>('Raw Values'!$V9+R9)*(0.1^('Raw Values'!$F9/'Raw Values'!$AD9))</f>
        <v>22.606588270418026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spans="1:36" ht="15.75" customHeight="1" x14ac:dyDescent="0.15">
      <c r="A10" s="9" t="s">
        <v>151</v>
      </c>
      <c r="B10" s="83">
        <f>'Raw Values'!F10</f>
        <v>0.1</v>
      </c>
      <c r="C10" s="15">
        <f>'Raw Values'!V10</f>
        <v>35</v>
      </c>
      <c r="D10" s="22">
        <f>'Raw Values'!AC10</f>
        <v>0.22750000000000001</v>
      </c>
      <c r="E10" s="22">
        <f>'Raw Values'!AD10</f>
        <v>0.287823</v>
      </c>
      <c r="F10" s="176"/>
      <c r="G10" s="21">
        <v>0</v>
      </c>
      <c r="H10" s="114">
        <f>('Raw Values'!$V10)*(0.1^('Raw Values'!$F10/'Raw Values'!$AC10))</f>
        <v>12.720600245212456</v>
      </c>
      <c r="I10" s="114">
        <f>('Raw Values'!$V10+H10)*(0.1^('Raw Values'!$F10/'Raw Values'!$AC10))</f>
        <v>17.343847976598145</v>
      </c>
      <c r="J10" s="114">
        <f>('Raw Values'!$V10+I10)*(0.1^('Raw Values'!$F10/'Raw Values'!$AC10))</f>
        <v>19.024147583042222</v>
      </c>
      <c r="K10" s="114">
        <f>('Raw Values'!$V10+J10)*(0.1^('Raw Values'!$F10/Analysis!$AB10))</f>
        <v>20.373709027283656</v>
      </c>
      <c r="L10" s="114">
        <f>('Raw Values'!$V10+K10)*(0.1^('Raw Values'!$F10/Analysis!$AC10))</f>
        <v>21.61218252666346</v>
      </c>
      <c r="M10" s="114">
        <f>('Raw Values'!$V10+L10)*(0.1^('Raw Values'!$F10/Analysis!$AD10))</f>
        <v>22.81409536843973</v>
      </c>
      <c r="N10" s="114">
        <f>('Raw Values'!$V10+M10)*(0.1^('Raw Values'!$F10/Analysis!$AE10))</f>
        <v>24.005516397048247</v>
      </c>
      <c r="O10" s="114">
        <f>('Raw Values'!$V10+N10)*(0.1^('Raw Values'!$F10/Analysis!$AF10))</f>
        <v>25.19572628098885</v>
      </c>
      <c r="P10" s="114">
        <f>('Raw Values'!$V10+O10)*(0.1^('Raw Values'!$F10/Analysis!$AG10))</f>
        <v>26.387997448350038</v>
      </c>
      <c r="Q10" s="114">
        <f>('Raw Values'!$V10+P10)*(0.1^('Raw Values'!$F10/'Raw Values'!$AD10))</f>
        <v>27.583394828033811</v>
      </c>
      <c r="R10" s="114">
        <f>('Raw Values'!$V10+Q10)*(0.1^('Raw Values'!$F10/'Raw Values'!$AD10))</f>
        <v>28.120521290384321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6" ht="15.75" customHeight="1" x14ac:dyDescent="0.15">
      <c r="A11" s="36" t="s">
        <v>152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22">
        <f>'Raw Values'!AD11</f>
        <v>0.315</v>
      </c>
      <c r="F11" s="176"/>
      <c r="G11" s="21">
        <v>0</v>
      </c>
      <c r="H11" s="114">
        <f>('Raw Values'!$V11)*(0.1^('Raw Values'!$F11/'Raw Values'!$AC11))</f>
        <v>18.718029733823311</v>
      </c>
      <c r="I11" s="114">
        <f>('Raw Values'!$V11+H11)*(0.1^('Raw Values'!$F11/'Raw Values'!$AC11))</f>
        <v>26.503910558629837</v>
      </c>
      <c r="J11" s="114">
        <f>('Raw Values'!$V11+I11)*(0.1^('Raw Values'!$F11/'Raw Values'!$AC11))</f>
        <v>29.742496087135024</v>
      </c>
      <c r="K11" s="114">
        <f>('Raw Values'!$V11+J11)*(0.1^('Raw Values'!$F11/Analysis!$AB11))</f>
        <v>31.089605869759243</v>
      </c>
      <c r="L11" s="114">
        <f>('Raw Values'!$V11+K11)*(0.1^('Raw Values'!$F11/Analysis!$AC11))</f>
        <v>31.649944557890006</v>
      </c>
      <c r="M11" s="114">
        <f>('Raw Values'!$V11+L11)*(0.1^('Raw Values'!$F11/Analysis!$AD11))</f>
        <v>31.883020918455411</v>
      </c>
      <c r="N11" s="114">
        <f>('Raw Values'!$V11+M11)*(0.1^('Raw Values'!$F11/Analysis!$AE11))</f>
        <v>31.979970479506846</v>
      </c>
      <c r="O11" s="114">
        <f>('Raw Values'!$V11+N11)*(0.1^('Raw Values'!$F11/Analysis!$AF11))</f>
        <v>32.020297252094444</v>
      </c>
      <c r="P11" s="114">
        <f>('Raw Values'!$V11+O11)*(0.1^('Raw Values'!$F11/Analysis!$AG11))</f>
        <v>32.037071423835862</v>
      </c>
      <c r="Q11" s="114">
        <f>('Raw Values'!$V11+P11)*(0.1^('Raw Values'!$F11/'Raw Values'!$AD11))</f>
        <v>32.044048744845114</v>
      </c>
      <c r="R11" s="114">
        <f>('Raw Values'!$V11+Q11)*(0.1^('Raw Values'!$F11/'Raw Values'!$AD11))</f>
        <v>32.04695100489208</v>
      </c>
      <c r="S11" s="114">
        <f>('Raw Values'!$V11+R11)*(0.1^('Raw Values'!$F11/'Raw Values'!$AD11))</f>
        <v>32.048158217999955</v>
      </c>
      <c r="T11" s="114">
        <f>('Raw Values'!$V11+S11)*(0.1^('Raw Values'!$F11/'Raw Values'!$AD11))</f>
        <v>32.048660365796579</v>
      </c>
      <c r="U11" s="114">
        <f>('Raw Values'!$V11+T11)*(0.1^('Raw Values'!$F11/'Raw Values'!$AD11))</f>
        <v>32.048869237294092</v>
      </c>
      <c r="V11" s="114">
        <f>('Raw Values'!$V11+U11)*(0.1^('Raw Values'!$F11/'Raw Values'!$AD11))</f>
        <v>32.048956118691898</v>
      </c>
      <c r="W11" s="114">
        <f>('Raw Values'!$V11+V11)*(0.1^('Raw Values'!$F11/'Raw Values'!$AD11))</f>
        <v>32.048992257549394</v>
      </c>
      <c r="X11" s="114">
        <f>('Raw Values'!$V11+W11)*(0.1^('Raw Values'!$F11/'Raw Values'!$AD11))</f>
        <v>32.049007289731819</v>
      </c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6" ht="15.75" customHeight="1" x14ac:dyDescent="0.15">
      <c r="A12" s="39"/>
      <c r="B12" s="101"/>
      <c r="C12" s="177"/>
      <c r="D12" s="178"/>
      <c r="E12" s="178"/>
      <c r="F12" s="179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spans="1:36" ht="15.75" customHeight="1" x14ac:dyDescent="0.15">
      <c r="A13" s="1" t="s">
        <v>53</v>
      </c>
      <c r="B13" s="69" t="s">
        <v>95</v>
      </c>
      <c r="C13" s="4" t="s">
        <v>234</v>
      </c>
      <c r="D13" s="7" t="s">
        <v>26</v>
      </c>
      <c r="E13" s="7" t="s">
        <v>237</v>
      </c>
      <c r="F13" s="174"/>
      <c r="G13" s="175">
        <v>1</v>
      </c>
      <c r="H13" s="175">
        <v>2</v>
      </c>
      <c r="I13" s="175">
        <v>3</v>
      </c>
      <c r="J13" s="175">
        <v>4</v>
      </c>
      <c r="K13" s="175">
        <v>5</v>
      </c>
      <c r="L13" s="175">
        <v>6</v>
      </c>
      <c r="M13" s="175">
        <v>7</v>
      </c>
      <c r="N13" s="175">
        <v>8</v>
      </c>
      <c r="O13" s="183"/>
      <c r="P13" s="182"/>
      <c r="Q13" s="182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spans="1:36" ht="15.75" customHeight="1" x14ac:dyDescent="0.15">
      <c r="A14" s="35" t="s">
        <v>153</v>
      </c>
      <c r="B14" s="83">
        <f>'Raw Values'!F14</f>
        <v>0.85</v>
      </c>
      <c r="C14" s="15">
        <f>'Raw Values'!V14</f>
        <v>11.19</v>
      </c>
      <c r="D14" s="22">
        <f>'Raw Values'!AC14</f>
        <v>0.28552100000000002</v>
      </c>
      <c r="E14" s="33" t="s">
        <v>236</v>
      </c>
      <c r="F14" s="176"/>
      <c r="G14" s="21">
        <v>0</v>
      </c>
      <c r="H14" s="21">
        <f>('Raw Values'!$V14)*(0.1^('Raw Values'!$F14/'Raw Values'!$AC14))</f>
        <v>1.1798210395191456E-2</v>
      </c>
      <c r="I14" s="21">
        <f>('Raw Values'!$V14+H14)*(0.1^('Raw Values'!$F14/'Raw Values'!$AC14))</f>
        <v>1.1810649874059125E-2</v>
      </c>
      <c r="J14" s="114">
        <f>('Raw Values'!$V14+I14)*(0.1^('Raw Values'!$F14/Analysis!$AA14))</f>
        <v>1.1810662989661347E-2</v>
      </c>
      <c r="K14" s="114">
        <f>('Raw Values'!$V14+J14)*(0.1^('Raw Values'!$F14/Analysis!$AB14))</f>
        <v>1.1810663003489824E-2</v>
      </c>
      <c r="L14" s="21"/>
      <c r="M14" s="21"/>
      <c r="N14" s="2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</row>
    <row r="15" spans="1:36" ht="15.75" customHeight="1" x14ac:dyDescent="0.15">
      <c r="A15" s="9" t="s">
        <v>155</v>
      </c>
      <c r="B15" s="83">
        <f>'Raw Values'!F15</f>
        <v>0.88</v>
      </c>
      <c r="C15" s="15">
        <f>'Raw Values'!V15</f>
        <v>9.7200000000000006</v>
      </c>
      <c r="D15" s="22">
        <f>'Raw Values'!AC15</f>
        <v>0.32894099999999998</v>
      </c>
      <c r="E15" s="33" t="s">
        <v>236</v>
      </c>
      <c r="F15" s="176"/>
      <c r="G15" s="21">
        <v>0</v>
      </c>
      <c r="H15" s="21">
        <f>('Raw Values'!$V15)*(0.1^('Raw Values'!$F15/'Raw Values'!$AC15))</f>
        <v>2.0531206545464413E-2</v>
      </c>
      <c r="I15" s="21">
        <f>('Raw Values'!$V15+H15)*(0.1^('Raw Values'!$F15/'Raw Values'!$AC15))</f>
        <v>2.057457387491015E-2</v>
      </c>
      <c r="J15" s="114">
        <f>('Raw Values'!$V15+I15)*(0.1^('Raw Values'!$F15/Analysis!$AA15))</f>
        <v>2.0574665478160989E-2</v>
      </c>
      <c r="K15" s="114">
        <f>('Raw Values'!$V15+J15)*(0.1^('Raw Values'!$F15/Analysis!$AB15))</f>
        <v>2.057466567165124E-2</v>
      </c>
      <c r="L15" s="114">
        <f>('Raw Values'!$V15+K15)*(0.1^('Raw Values'!$F15/'Raw Values'!$AD15))</f>
        <v>2.0574665672059945E-2</v>
      </c>
      <c r="M15" s="21">
        <f>('Raw Values'!$V15+L15)*(0.1^('Raw Values'!$F15/'Raw Values'!$AD15))</f>
        <v>2.0574665672060805E-2</v>
      </c>
      <c r="N15" s="21">
        <f>('Raw Values'!$V15+M15)*(0.1^('Raw Values'!$F15/'Raw Values'!$AD15))</f>
        <v>2.0574665672060809E-2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</row>
    <row r="16" spans="1:36" ht="15.75" customHeight="1" x14ac:dyDescent="0.15">
      <c r="A16" s="36" t="s">
        <v>156</v>
      </c>
      <c r="B16" s="83">
        <f>'Raw Values'!F16</f>
        <v>0.85</v>
      </c>
      <c r="C16" s="15">
        <f>'Raw Values'!V16</f>
        <v>9.7200000000000006</v>
      </c>
      <c r="D16" s="22">
        <f>'Raw Values'!AC16</f>
        <v>0.32894099999999998</v>
      </c>
      <c r="E16" s="33" t="s">
        <v>236</v>
      </c>
      <c r="F16" s="176"/>
      <c r="G16" s="21">
        <v>0</v>
      </c>
      <c r="H16" s="21">
        <f>('Raw Values'!$V16)*(0.1^('Raw Values'!$F16/'Raw Values'!$AC16))</f>
        <v>2.5328894654319464E-2</v>
      </c>
      <c r="I16" s="21">
        <f>('Raw Values'!$V16+H16)*(0.1^('Raw Values'!$F16/'Raw Values'!$AC16))</f>
        <v>2.5394898039546789E-2</v>
      </c>
      <c r="J16" s="114">
        <f>('Raw Values'!$V16+I16)*(0.1^('Raw Values'!$F16/Analysis!$AA16))</f>
        <v>2.5395070034689927E-2</v>
      </c>
      <c r="K16" s="114">
        <f>('Raw Values'!$V16+J16)*(0.1^('Raw Values'!$F16/Analysis!$AB16))</f>
        <v>2.5395070482884047E-2</v>
      </c>
      <c r="L16" s="114">
        <f>('Raw Values'!$V16+K16)*(0.1^('Raw Values'!$F16/'Raw Values'!$AD16))</f>
        <v>2.5395070484051978E-2</v>
      </c>
      <c r="M16" s="21">
        <f>('Raw Values'!$V16+L16)*(0.1^('Raw Values'!$F16/'Raw Values'!$AD16))</f>
        <v>2.5395070484055017E-2</v>
      </c>
      <c r="N16" s="2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</row>
    <row r="17" spans="1:36" ht="15.75" customHeight="1" x14ac:dyDescent="0.15">
      <c r="A17" s="9" t="s">
        <v>157</v>
      </c>
      <c r="B17" s="83">
        <f>'Raw Values'!F17</f>
        <v>0.35</v>
      </c>
      <c r="C17" s="15">
        <f>'Raw Values'!V17</f>
        <v>8.83</v>
      </c>
      <c r="D17" s="22">
        <f>'Raw Values'!AC17</f>
        <v>0.36183500000000002</v>
      </c>
      <c r="E17" s="33" t="s">
        <v>236</v>
      </c>
      <c r="F17" s="176"/>
      <c r="G17" s="21">
        <v>0</v>
      </c>
      <c r="H17" s="21">
        <f>('Raw Values'!$V17)*(0.1^('Raw Values'!$F17/'Raw Values'!$AC17))</f>
        <v>0.95207022269595754</v>
      </c>
      <c r="I17" s="21">
        <f>('Raw Values'!$V17+H17)*(0.1^('Raw Values'!$F17/'Raw Values'!$AC17))</f>
        <v>1.0547245498697206</v>
      </c>
      <c r="J17" s="114">
        <f>('Raw Values'!$V17+I17)*(0.1^('Raw Values'!$F17/Analysis!$AA17))</f>
        <v>1.0657929675518303</v>
      </c>
      <c r="K17" s="114">
        <f>('Raw Values'!$V17+J17)*(0.1^('Raw Values'!$F17/Analysis!$AB17))</f>
        <v>1.0669863889433933</v>
      </c>
      <c r="L17" s="114">
        <f>('Raw Values'!$V17+K17)*(0.1^('Raw Values'!$F17/'Raw Values'!$AD17))</f>
        <v>1.0671150662899429</v>
      </c>
      <c r="M17" s="21">
        <f>('Raw Values'!$V17+L17)*(0.1^('Raw Values'!$F17/'Raw Values'!$AD17))</f>
        <v>1.0671289405674047</v>
      </c>
      <c r="N17" s="2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</row>
    <row r="18" spans="1:36" ht="15.75" customHeight="1" x14ac:dyDescent="0.15">
      <c r="A18" s="39"/>
      <c r="B18" s="101"/>
      <c r="C18" s="177"/>
      <c r="D18" s="178"/>
      <c r="E18" s="178"/>
      <c r="F18" s="179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spans="1:36" ht="15.75" customHeight="1" x14ac:dyDescent="0.15">
      <c r="A19" s="1" t="s">
        <v>59</v>
      </c>
      <c r="B19" s="69" t="s">
        <v>95</v>
      </c>
      <c r="C19" s="4" t="s">
        <v>234</v>
      </c>
      <c r="D19" s="7" t="s">
        <v>26</v>
      </c>
      <c r="E19" s="7" t="s">
        <v>237</v>
      </c>
      <c r="F19" s="174"/>
      <c r="G19" s="175">
        <v>1</v>
      </c>
      <c r="H19" s="175">
        <v>2</v>
      </c>
      <c r="I19" s="175">
        <v>3</v>
      </c>
      <c r="J19" s="175">
        <v>4</v>
      </c>
      <c r="K19" s="175">
        <v>5</v>
      </c>
      <c r="L19" s="175">
        <v>6</v>
      </c>
      <c r="M19" s="175">
        <v>7</v>
      </c>
      <c r="N19" s="175">
        <v>8</v>
      </c>
      <c r="O19" s="175">
        <v>9</v>
      </c>
      <c r="P19" s="175">
        <v>10</v>
      </c>
      <c r="Q19" s="175">
        <v>11</v>
      </c>
      <c r="R19" s="175">
        <v>12</v>
      </c>
      <c r="S19" s="175">
        <v>13</v>
      </c>
      <c r="T19" s="175">
        <v>14</v>
      </c>
      <c r="U19" s="175">
        <v>15</v>
      </c>
      <c r="V19" s="175">
        <v>16</v>
      </c>
      <c r="W19" s="175">
        <v>17</v>
      </c>
      <c r="X19" s="175">
        <v>18</v>
      </c>
      <c r="Y19" s="175">
        <v>19</v>
      </c>
      <c r="Z19" s="175">
        <v>20</v>
      </c>
      <c r="AA19" s="175">
        <v>21</v>
      </c>
      <c r="AB19" s="175">
        <v>22</v>
      </c>
      <c r="AC19" s="175">
        <v>23</v>
      </c>
      <c r="AD19" s="175">
        <v>24</v>
      </c>
      <c r="AE19" s="175">
        <v>25</v>
      </c>
      <c r="AF19" s="175">
        <v>26</v>
      </c>
      <c r="AG19" s="175">
        <v>27</v>
      </c>
      <c r="AH19" s="175">
        <v>28</v>
      </c>
      <c r="AI19" s="175">
        <v>29</v>
      </c>
      <c r="AJ19" s="175">
        <v>30</v>
      </c>
    </row>
    <row r="20" spans="1:36" ht="15.75" customHeight="1" x14ac:dyDescent="0.15">
      <c r="A20" s="9" t="s">
        <v>158</v>
      </c>
      <c r="B20" s="83">
        <f>'Raw Values'!F20</f>
        <v>0.08</v>
      </c>
      <c r="C20" s="15">
        <f>'Raw Values'!V20</f>
        <v>2.88</v>
      </c>
      <c r="D20" s="22">
        <f>'Raw Values'!AC20</f>
        <v>0.23683699999999999</v>
      </c>
      <c r="E20" s="33" t="s">
        <v>236</v>
      </c>
      <c r="F20" s="176"/>
      <c r="G20" s="21">
        <v>0</v>
      </c>
      <c r="H20" s="114">
        <f>('Raw Values'!$V20)*(0.1^('Raw Values'!$F20/'Raw Values'!$AC20))</f>
        <v>1.3231449660143686</v>
      </c>
      <c r="I20" s="114">
        <f>('Raw Values'!$V20+H20)*(0.1^('Raw Values'!$F20/'Raw Values'!$AC20))</f>
        <v>1.9310312858369953</v>
      </c>
      <c r="J20" s="114">
        <f>('Raw Values'!$V20+I20)*(0.1^('Raw Values'!$F20/Analysis!$AA20))</f>
        <v>2.2103096622197413</v>
      </c>
      <c r="K20" s="114">
        <f>('Raw Values'!$V20+J20)*(0.1^('Raw Values'!$F20/Analysis!$AB20))</f>
        <v>2.3386172239654002</v>
      </c>
      <c r="L20" s="114">
        <f>('Raw Values'!$V20+K20)*(0.1^('Raw Values'!$F20/'Raw Values'!$AD20))</f>
        <v>2.3975649685575338</v>
      </c>
      <c r="M20" s="114">
        <f>('Raw Values'!$V20+L20)*(0.1^('Raw Values'!$F20/'Raw Values'!$AD20))</f>
        <v>2.4246470558891251</v>
      </c>
      <c r="N20" s="114">
        <f>('Raw Values'!$V20+M20)*(0.1^('Raw Values'!$F20/'Raw Values'!$AD20))</f>
        <v>2.4370892529453601</v>
      </c>
      <c r="O20" s="114">
        <f>('Raw Values'!$V20+N20)*(0.1^('Raw Values'!$F20/'Raw Values'!$AD20))</f>
        <v>2.4428055135013031</v>
      </c>
      <c r="P20" s="114">
        <f>('Raw Values'!$V20+O20)*(0.1^('Raw Values'!$F20/'Raw Values'!$AD20))</f>
        <v>2.4454317084245747</v>
      </c>
      <c r="Q20" s="114">
        <f>('Raw Values'!$V20+P20)*(0.1^('Raw Values'!$F20/'Raw Values'!$AD20))</f>
        <v>2.4466382489080813</v>
      </c>
      <c r="R20" s="114">
        <f>('Raw Values'!$V20+Q20)*(0.1^('Raw Values'!$F20/'Raw Values'!$AD20))</f>
        <v>2.4471925641744159</v>
      </c>
      <c r="S20" s="114">
        <f>('Raw Values'!$V20+R20)*(0.1^('Raw Values'!$F20/'Raw Values'!$AD20))</f>
        <v>2.4474472306515813</v>
      </c>
      <c r="T20" s="114">
        <f>('Raw Values'!$V20+S20)*(0.1^('Raw Values'!$F20/'Raw Values'!$AD20))</f>
        <v>2.4475642308832737</v>
      </c>
      <c r="U20" s="114">
        <f>('Raw Values'!$V20+T20)*(0.1^('Raw Values'!$F20/'Raw Values'!$AD20))</f>
        <v>2.4476179837539638</v>
      </c>
      <c r="V20" s="114">
        <f>('Raw Values'!$V20+U20)*(0.1^('Raw Values'!$F20/'Raw Values'!$AD20))</f>
        <v>2.44764267918461</v>
      </c>
      <c r="W20" s="114">
        <f>('Raw Values'!$V20+V20)*(0.1^('Raw Values'!$F20/'Raw Values'!$AD20))</f>
        <v>2.4476540248911181</v>
      </c>
      <c r="X20" s="114">
        <f>('Raw Values'!$V20+W20)*(0.1^('Raw Values'!$F20/'Raw Values'!$AD20))</f>
        <v>2.4476592373961359</v>
      </c>
      <c r="Y20" s="114">
        <f>('Raw Values'!$V20+X20)*(0.1^('Raw Values'!$F20/'Raw Values'!$AD20))</f>
        <v>2.447661632153002</v>
      </c>
      <c r="Z20" s="114">
        <f>('Raw Values'!$V20+Y20)*(0.1^('Raw Values'!$F20/'Raw Values'!$AD20))</f>
        <v>2.4476627323649787</v>
      </c>
      <c r="AA20" s="114">
        <f>('Raw Values'!$V20+Z20)*(0.1^('Raw Values'!$F20/'Raw Values'!$AD20))</f>
        <v>2.4476632378302354</v>
      </c>
      <c r="AB20" s="114">
        <f>('Raw Values'!$V20+AA20)*(0.1^('Raw Values'!$F20/'Raw Values'!$AD20))</f>
        <v>2.4476634700537803</v>
      </c>
      <c r="AC20" s="114">
        <f>('Raw Values'!$V20+AB20)*(0.1^('Raw Values'!$F20/'Raw Values'!$AD20))</f>
        <v>2.4476635767431603</v>
      </c>
      <c r="AD20" s="114">
        <f>('Raw Values'!$V20+AC20)*(0.1^('Raw Values'!$F20/'Raw Values'!$AD20))</f>
        <v>2.4476636257589646</v>
      </c>
      <c r="AE20" s="114">
        <f>('Raw Values'!$V20+AD20)*(0.1^('Raw Values'!$F20/'Raw Values'!$AD20))</f>
        <v>2.4476636482780667</v>
      </c>
      <c r="AF20" s="114">
        <f>('Raw Values'!$V20+AE20)*(0.1^('Raw Values'!$F20/'Raw Values'!$AD20))</f>
        <v>2.4476636586239131</v>
      </c>
      <c r="AG20" s="114">
        <f>('Raw Values'!$V20+AF20)*(0.1^('Raw Values'!$F20/'Raw Values'!$AD20))</f>
        <v>2.4476636633770568</v>
      </c>
      <c r="AH20" s="114">
        <f>('Raw Values'!$V20+AG20)*(0.1^('Raw Values'!$F20/'Raw Values'!$AD20))</f>
        <v>2.4476636655607718</v>
      </c>
      <c r="AI20" s="114">
        <f>('Raw Values'!$V20+AH20)*(0.1^('Raw Values'!$F20/'Raw Values'!$AD20))</f>
        <v>2.4476636665640257</v>
      </c>
      <c r="AJ20" s="114">
        <f>('Raw Values'!$V20+AI20)*(0.1^('Raw Values'!$F20/'Raw Values'!$AD20))</f>
        <v>2.4476636670249459</v>
      </c>
    </row>
    <row r="21" spans="1:36" ht="15.75" customHeight="1" x14ac:dyDescent="0.15">
      <c r="A21" s="36" t="s">
        <v>160</v>
      </c>
      <c r="B21" s="83">
        <f>'Raw Values'!F21</f>
        <v>7.4999999999999997E-2</v>
      </c>
      <c r="C21" s="15">
        <f>'Raw Values'!V21</f>
        <v>4.76</v>
      </c>
      <c r="D21" s="22">
        <f>'Raw Values'!AC21</f>
        <v>0.28552100000000002</v>
      </c>
      <c r="E21" s="33" t="s">
        <v>236</v>
      </c>
      <c r="F21" s="176"/>
      <c r="G21" s="21">
        <v>0</v>
      </c>
      <c r="H21" s="114">
        <f>('Raw Values'!$V21)*(0.1^('Raw Values'!$F21/'Raw Values'!$AC21))</f>
        <v>2.5997360186595158</v>
      </c>
      <c r="I21" s="114">
        <f>('Raw Values'!$V21+H21)*(0.1^('Raw Values'!$F21/'Raw Values'!$AC21))</f>
        <v>4.0196157175493541</v>
      </c>
      <c r="J21" s="114">
        <f>('Raw Values'!$V21+I21)*(0.1^('Raw Values'!$F21/Analysis!$AA21))</f>
        <v>4.7951015148954346</v>
      </c>
      <c r="K21" s="114">
        <f>('Raw Values'!$V21+J21)*(0.1^('Raw Values'!$F21/Analysis!$AB21))</f>
        <v>5.2186431870213781</v>
      </c>
      <c r="L21" s="114">
        <f>('Raw Values'!$V21+K21)*(0.1^('Raw Values'!$F21/'Raw Values'!$AD21))</f>
        <v>5.449965989632533</v>
      </c>
      <c r="M21" s="114">
        <f>('Raw Values'!$V21+L21)*(0.1^('Raw Values'!$F21/'Raw Values'!$AD21))</f>
        <v>5.5763059522135174</v>
      </c>
      <c r="N21" s="114">
        <f>('Raw Values'!$V21+M21)*(0.1^('Raw Values'!$F21/'Raw Values'!$AD21))</f>
        <v>5.6453081688769382</v>
      </c>
      <c r="O21" s="114">
        <f>('Raw Values'!$V21+N21)*(0.1^('Raw Values'!$F21/'Raw Values'!$AD21))</f>
        <v>5.6829946285465267</v>
      </c>
      <c r="P21" s="114">
        <f>('Raw Values'!$V21+O21)*(0.1^('Raw Values'!$F21/'Raw Values'!$AD21))</f>
        <v>5.7035775795168595</v>
      </c>
      <c r="Q21" s="114">
        <f>('Raw Values'!$V21+P21)*(0.1^('Raw Values'!$F21/'Raw Values'!$AD21))</f>
        <v>5.7148192263672541</v>
      </c>
      <c r="R21" s="114">
        <f>('Raw Values'!$V21+Q21)*(0.1^('Raw Values'!$F21/'Raw Values'!$AD21))</f>
        <v>5.7209589982634776</v>
      </c>
      <c r="S21" s="114">
        <f>('Raw Values'!$V21+R21)*(0.1^('Raw Values'!$F21/'Raw Values'!$AD21))</f>
        <v>5.7243123146804873</v>
      </c>
      <c r="T21" s="114">
        <f>('Raw Values'!$V21+S21)*(0.1^('Raw Values'!$F21/'Raw Values'!$AD21))</f>
        <v>5.7261437721324331</v>
      </c>
      <c r="U21" s="114">
        <f>('Raw Values'!$V21+T21)*(0.1^('Raw Values'!$F21/'Raw Values'!$AD21))</f>
        <v>5.7271440464821106</v>
      </c>
      <c r="V21" s="114">
        <f>('Raw Values'!$V21+U21)*(0.1^('Raw Values'!$F21/'Raw Values'!$AD21))</f>
        <v>5.7276903593508921</v>
      </c>
      <c r="W21" s="114">
        <f>('Raw Values'!$V21+V21)*(0.1^('Raw Values'!$F21/'Raw Values'!$AD21))</f>
        <v>5.7279887352421586</v>
      </c>
      <c r="X21" s="114">
        <f>('Raw Values'!$V21+W21)*(0.1^('Raw Values'!$F21/'Raw Values'!$AD21))</f>
        <v>5.728151697122752</v>
      </c>
      <c r="Y21" s="114">
        <f>('Raw Values'!$V21+X21)*(0.1^('Raw Values'!$F21/'Raw Values'!$AD21))</f>
        <v>5.7282407008770901</v>
      </c>
      <c r="Z21" s="114">
        <f>('Raw Values'!$V21+Y21)*(0.1^('Raw Values'!$F21/'Raw Values'!$AD21))</f>
        <v>5.7282893114371625</v>
      </c>
      <c r="AA21" s="114">
        <f>('Raw Values'!$V21+Z21)*(0.1^('Raw Values'!$F21/'Raw Values'!$AD21))</f>
        <v>5.7283158607278999</v>
      </c>
      <c r="AB21" s="114">
        <f>('Raw Values'!$V21+AA21)*(0.1^('Raw Values'!$F21/'Raw Values'!$AD21))</f>
        <v>5.7283303609689495</v>
      </c>
      <c r="AC21" s="114">
        <f>('Raw Values'!$V21+AB21)*(0.1^('Raw Values'!$F21/'Raw Values'!$AD21))</f>
        <v>5.7283382804645244</v>
      </c>
      <c r="AD21" s="114">
        <f>('Raw Values'!$V21+AC21)*(0.1^('Raw Values'!$F21/'Raw Values'!$AD21))</f>
        <v>5.7283426058002176</v>
      </c>
      <c r="AE21" s="114">
        <f>('Raw Values'!$V21+AD21)*(0.1^('Raw Values'!$F21/'Raw Values'!$AD21))</f>
        <v>5.7283449681386607</v>
      </c>
      <c r="AF21" s="114">
        <f>('Raw Values'!$V21+AE21)*(0.1^('Raw Values'!$F21/'Raw Values'!$AD21))</f>
        <v>5.7283462583605811</v>
      </c>
      <c r="AG21" s="114">
        <f>('Raw Values'!$V21+AF21)*(0.1^('Raw Values'!$F21/'Raw Values'!$AD21))</f>
        <v>5.7283469630320933</v>
      </c>
      <c r="AH21" s="114">
        <f>('Raw Values'!$V21+AG21)*(0.1^('Raw Values'!$F21/'Raw Values'!$AD21))</f>
        <v>5.7283473478976212</v>
      </c>
      <c r="AI21" s="114">
        <f>('Raw Values'!$V21+AH21)*(0.1^('Raw Values'!$F21/'Raw Values'!$AD21))</f>
        <v>5.7283475580969441</v>
      </c>
      <c r="AJ21" s="114">
        <f>('Raw Values'!$V21+AI21)*(0.1^('Raw Values'!$F21/'Raw Values'!$AD21))</f>
        <v>5.7283476729000427</v>
      </c>
    </row>
    <row r="22" spans="1:36" ht="15.75" customHeight="1" x14ac:dyDescent="0.15">
      <c r="A22" s="9" t="s">
        <v>161</v>
      </c>
      <c r="B22" s="83">
        <f>'Raw Values'!F22</f>
        <v>0.08</v>
      </c>
      <c r="C22" s="15">
        <f>'Raw Values'!V22</f>
        <v>2.1800000000000002</v>
      </c>
      <c r="D22" s="22">
        <f>'Raw Values'!AC22</f>
        <v>0.31249399999999999</v>
      </c>
      <c r="E22" s="33" t="s">
        <v>236</v>
      </c>
      <c r="F22" s="176"/>
      <c r="G22" s="21">
        <v>0</v>
      </c>
      <c r="H22" s="114">
        <f>('Raw Values'!$V22)*(0.1^('Raw Values'!$F22/'Raw Values'!$AC22))</f>
        <v>1.2090703700531529</v>
      </c>
      <c r="I22" s="114">
        <f>('Raw Values'!$V22+H22)*(0.1^('Raw Values'!$F22/'Raw Values'!$AC22))</f>
        <v>1.8796442965396059</v>
      </c>
      <c r="J22" s="114">
        <f>('Raw Values'!$V22+I22)*(0.1^('Raw Values'!$F22/Analysis!$AA22))</f>
        <v>2.2515576293125283</v>
      </c>
      <c r="K22" s="114">
        <f>('Raw Values'!$V22+J22)*(0.1^('Raw Values'!$F22/Analysis!$AB22))</f>
        <v>2.4578279921031063</v>
      </c>
      <c r="L22" s="114">
        <f>('Raw Values'!$V22+K22)*(0.1^('Raw Values'!$F22/'Raw Values'!$AD22))</f>
        <v>2.5722295443371439</v>
      </c>
      <c r="M22" s="114">
        <f>('Raw Values'!$V22+L22)*(0.1^('Raw Values'!$F22/'Raw Values'!$AD22))</f>
        <v>2.6356788686923101</v>
      </c>
      <c r="N22" s="114">
        <f>('Raw Values'!$V22+M22)*(0.1^('Raw Values'!$F22/'Raw Values'!$AD22))</f>
        <v>2.67086909716833</v>
      </c>
      <c r="O22" s="114">
        <f>('Raw Values'!$V22+N22)*(0.1^('Raw Values'!$F22/'Raw Values'!$AD22))</f>
        <v>2.6903862818315205</v>
      </c>
      <c r="P22" s="114">
        <f>('Raw Values'!$V22+O22)*(0.1^('Raw Values'!$F22/'Raw Values'!$AD22))</f>
        <v>2.7012108917779059</v>
      </c>
      <c r="Q22" s="114">
        <f>('Raw Values'!$V22+P22)*(0.1^('Raw Values'!$F22/'Raw Values'!$AD22))</f>
        <v>2.7072144308391706</v>
      </c>
      <c r="R22" s="114">
        <f>('Raw Values'!$V22+Q22)*(0.1^('Raw Values'!$F22/'Raw Values'!$AD22))</f>
        <v>2.710544110286158</v>
      </c>
      <c r="S22" s="114">
        <f>('Raw Values'!$V22+R22)*(0.1^('Raw Values'!$F22/'Raw Values'!$AD22))</f>
        <v>2.712390815222455</v>
      </c>
      <c r="T22" s="114">
        <f>('Raw Values'!$V22+S22)*(0.1^('Raw Values'!$F22/'Raw Values'!$AD22))</f>
        <v>2.7134150336723208</v>
      </c>
      <c r="U22" s="114">
        <f>('Raw Values'!$V22+T22)*(0.1^('Raw Values'!$F22/'Raw Values'!$AD22))</f>
        <v>2.7139830851311255</v>
      </c>
      <c r="V22" s="114">
        <f>('Raw Values'!$V22+U22)*(0.1^('Raw Values'!$F22/'Raw Values'!$AD22))</f>
        <v>2.7142981375107156</v>
      </c>
      <c r="W22" s="114">
        <f>('Raw Values'!$V22+V22)*(0.1^('Raw Values'!$F22/'Raw Values'!$AD22))</f>
        <v>2.7144728716837325</v>
      </c>
      <c r="X22" s="114">
        <f>('Raw Values'!$V22+W22)*(0.1^('Raw Values'!$F22/'Raw Values'!$AD22))</f>
        <v>2.7145697826521871</v>
      </c>
      <c r="Y22" s="114">
        <f>('Raw Values'!$V22+X22)*(0.1^('Raw Values'!$F22/'Raw Values'!$AD22))</f>
        <v>2.7146235313588343</v>
      </c>
      <c r="Z22" s="114">
        <f>('Raw Values'!$V22+Y22)*(0.1^('Raw Values'!$F22/'Raw Values'!$AD22))</f>
        <v>2.7146533414361902</v>
      </c>
      <c r="AA22" s="114">
        <f>('Raw Values'!$V22+Z22)*(0.1^('Raw Values'!$F22/'Raw Values'!$AD22))</f>
        <v>2.7146698746844748</v>
      </c>
      <c r="AB22" s="114">
        <f>('Raw Values'!$V22+AA22)*(0.1^('Raw Values'!$F22/'Raw Values'!$AD22))</f>
        <v>2.7146790443453104</v>
      </c>
      <c r="AC22" s="114">
        <f>('Raw Values'!$V22+AB22)*(0.1^('Raw Values'!$F22/'Raw Values'!$AD22))</f>
        <v>2.7146841300174294</v>
      </c>
      <c r="AD22" s="114">
        <f>('Raw Values'!$V22+AC22)*(0.1^('Raw Values'!$F22/'Raw Values'!$AD22))</f>
        <v>2.7146869506300306</v>
      </c>
      <c r="AE22" s="114">
        <f>('Raw Values'!$V22+AD22)*(0.1^('Raw Values'!$F22/'Raw Values'!$AD22))</f>
        <v>2.7146885149966002</v>
      </c>
      <c r="AF22" s="114">
        <f>('Raw Values'!$V22+AE22)*(0.1^('Raw Values'!$F22/'Raw Values'!$AD22))</f>
        <v>2.7146893826247047</v>
      </c>
      <c r="AG22" s="114">
        <f>('Raw Values'!$V22+AF22)*(0.1^('Raw Values'!$F22/'Raw Values'!$AD22))</f>
        <v>2.7146898638281143</v>
      </c>
      <c r="AH22" s="114">
        <f>('Raw Values'!$V22+AG22)*(0.1^('Raw Values'!$F22/'Raw Values'!$AD22))</f>
        <v>2.7146901307128779</v>
      </c>
      <c r="AI22" s="114">
        <f>('Raw Values'!$V22+AH22)*(0.1^('Raw Values'!$F22/'Raw Values'!$AD22))</f>
        <v>2.7146902787323546</v>
      </c>
      <c r="AJ22" s="114">
        <f>('Raw Values'!$V22+AI22)*(0.1^('Raw Values'!$F22/'Raw Values'!$AD22))</f>
        <v>2.7146903608268338</v>
      </c>
    </row>
    <row r="23" spans="1:36" ht="15.75" customHeight="1" x14ac:dyDescent="0.15">
      <c r="A23" s="53" t="s">
        <v>162</v>
      </c>
      <c r="B23" s="83">
        <f>'Raw Values'!F23</f>
        <v>0.08</v>
      </c>
      <c r="C23" s="15">
        <f>'Raw Values'!V23</f>
        <v>2.1800000000000002</v>
      </c>
      <c r="D23" s="22">
        <f>'Raw Values'!AC23</f>
        <v>0.31249399999999999</v>
      </c>
      <c r="E23" s="33" t="s">
        <v>236</v>
      </c>
      <c r="F23" s="176"/>
      <c r="G23" s="21">
        <v>0</v>
      </c>
      <c r="H23" s="114">
        <f>('Raw Values'!$V23)*(0.1^('Raw Values'!$F23/'Raw Values'!$AC23))</f>
        <v>1.2090703700531529</v>
      </c>
      <c r="I23" s="114">
        <f>('Raw Values'!$V23+H23)*(0.1^('Raw Values'!$F23/'Raw Values'!$AC23))</f>
        <v>1.8796442965396059</v>
      </c>
      <c r="J23" s="114">
        <f>('Raw Values'!$V23+I23)*(0.1^('Raw Values'!$F23/Analysis!$AA23))</f>
        <v>2.2515576293125283</v>
      </c>
      <c r="K23" s="114">
        <f>('Raw Values'!$V23+J23)*(0.1^('Raw Values'!$F23/Analysis!$AB23))</f>
        <v>2.4578279921031063</v>
      </c>
      <c r="L23" s="114">
        <f>('Raw Values'!$V23+K23)*(0.1^('Raw Values'!$F23/'Raw Values'!$AD23))</f>
        <v>2.5722295443371439</v>
      </c>
      <c r="M23" s="114">
        <f>('Raw Values'!$V23+L23)*(0.1^('Raw Values'!$F23/'Raw Values'!$AD23))</f>
        <v>2.6356788686923101</v>
      </c>
      <c r="N23" s="114">
        <f>('Raw Values'!$V23+M23)*(0.1^('Raw Values'!$F23/'Raw Values'!$AD23))</f>
        <v>2.67086909716833</v>
      </c>
      <c r="O23" s="114">
        <f>('Raw Values'!$V23+N23)*(0.1^('Raw Values'!$F23/'Raw Values'!$AD23))</f>
        <v>2.6903862818315205</v>
      </c>
      <c r="P23" s="114">
        <f>('Raw Values'!$V23+O23)*(0.1^('Raw Values'!$F23/'Raw Values'!$AD23))</f>
        <v>2.7012108917779059</v>
      </c>
      <c r="Q23" s="114">
        <f>('Raw Values'!$V23+P23)*(0.1^('Raw Values'!$F23/'Raw Values'!$AD23))</f>
        <v>2.7072144308391706</v>
      </c>
      <c r="R23" s="114">
        <f>('Raw Values'!$V23+Q23)*(0.1^('Raw Values'!$F23/'Raw Values'!$AD23))</f>
        <v>2.710544110286158</v>
      </c>
      <c r="S23" s="114">
        <f>('Raw Values'!$V23+R23)*(0.1^('Raw Values'!$F23/'Raw Values'!$AD23))</f>
        <v>2.712390815222455</v>
      </c>
      <c r="T23" s="114">
        <f>('Raw Values'!$V23+S23)*(0.1^('Raw Values'!$F23/'Raw Values'!$AD23))</f>
        <v>2.7134150336723208</v>
      </c>
      <c r="U23" s="114">
        <f>('Raw Values'!$V23+T23)*(0.1^('Raw Values'!$F23/'Raw Values'!$AD23))</f>
        <v>2.7139830851311255</v>
      </c>
      <c r="V23" s="114">
        <f>('Raw Values'!$V23+U23)*(0.1^('Raw Values'!$F23/'Raw Values'!$AD23))</f>
        <v>2.7142981375107156</v>
      </c>
      <c r="W23" s="114">
        <f>('Raw Values'!$V23+V23)*(0.1^('Raw Values'!$F23/'Raw Values'!$AD23))</f>
        <v>2.7144728716837325</v>
      </c>
      <c r="X23" s="114">
        <f>('Raw Values'!$V23+W23)*(0.1^('Raw Values'!$F23/'Raw Values'!$AD23))</f>
        <v>2.7145697826521871</v>
      </c>
      <c r="Y23" s="114">
        <f>('Raw Values'!$V23+X23)*(0.1^('Raw Values'!$F23/'Raw Values'!$AD23))</f>
        <v>2.7146235313588343</v>
      </c>
      <c r="Z23" s="114">
        <f>('Raw Values'!$V23+Y23)*(0.1^('Raw Values'!$F23/'Raw Values'!$AD23))</f>
        <v>2.7146533414361902</v>
      </c>
      <c r="AA23" s="114">
        <f>('Raw Values'!$V23+Z23)*(0.1^('Raw Values'!$F23/'Raw Values'!$AD23))</f>
        <v>2.7146698746844748</v>
      </c>
      <c r="AB23" s="114">
        <f>('Raw Values'!$V23+AA23)*(0.1^('Raw Values'!$F23/'Raw Values'!$AD23))</f>
        <v>2.7146790443453104</v>
      </c>
      <c r="AC23" s="114">
        <f>('Raw Values'!$V23+AB23)*(0.1^('Raw Values'!$F23/'Raw Values'!$AD23))</f>
        <v>2.7146841300174294</v>
      </c>
      <c r="AD23" s="114">
        <f>('Raw Values'!$V23+AC23)*(0.1^('Raw Values'!$F23/'Raw Values'!$AD23))</f>
        <v>2.7146869506300306</v>
      </c>
      <c r="AE23" s="114">
        <f>('Raw Values'!$V23+AD23)*(0.1^('Raw Values'!$F23/'Raw Values'!$AD23))</f>
        <v>2.7146885149966002</v>
      </c>
      <c r="AF23" s="114">
        <f>('Raw Values'!$V23+AE23)*(0.1^('Raw Values'!$F23/'Raw Values'!$AD23))</f>
        <v>2.7146893826247047</v>
      </c>
      <c r="AG23" s="114">
        <f>('Raw Values'!$V23+AF23)*(0.1^('Raw Values'!$F23/'Raw Values'!$AD23))</f>
        <v>2.7146898638281143</v>
      </c>
      <c r="AH23" s="114">
        <f>('Raw Values'!$V23+AG23)*(0.1^('Raw Values'!$F23/'Raw Values'!$AD23))</f>
        <v>2.7146901307128779</v>
      </c>
      <c r="AI23" s="114">
        <f>('Raw Values'!$V23+AH23)*(0.1^('Raw Values'!$F23/'Raw Values'!$AD23))</f>
        <v>2.7146902787323546</v>
      </c>
      <c r="AJ23" s="114">
        <f>('Raw Values'!$V23+AI23)*(0.1^('Raw Values'!$F23/'Raw Values'!$AD23))</f>
        <v>2.7146903608268338</v>
      </c>
    </row>
    <row r="24" spans="1:36" ht="15.75" customHeight="1" x14ac:dyDescent="0.15">
      <c r="A24" s="35" t="s">
        <v>163</v>
      </c>
      <c r="B24" s="83">
        <f>'Raw Values'!F24</f>
        <v>7.0000000000000007E-2</v>
      </c>
      <c r="C24" s="15">
        <f>'Raw Values'!V24</f>
        <v>3.7</v>
      </c>
      <c r="D24" s="22">
        <f>'Raw Values'!AC24</f>
        <v>0.18420700000000001</v>
      </c>
      <c r="E24" s="33" t="s">
        <v>236</v>
      </c>
      <c r="F24" s="176"/>
      <c r="G24" s="21">
        <v>0</v>
      </c>
      <c r="H24" s="114">
        <f>('Raw Values'!$V24)*(0.1^('Raw Values'!$F24/'Raw Values'!$AC24))</f>
        <v>1.542390883603578</v>
      </c>
      <c r="I24" s="114">
        <f>('Raw Values'!$V24+H24)*(0.1^('Raw Values'!$F24/'Raw Values'!$AC24))</f>
        <v>2.1853556505828826</v>
      </c>
      <c r="J24" s="114">
        <f>('Raw Values'!$V24+I24)*(0.1^('Raw Values'!$F24/Analysis!$AA24))</f>
        <v>2.4533834870875251</v>
      </c>
      <c r="K24" s="114">
        <f>('Raw Values'!$V24+J24)*(0.1^('Raw Values'!$F24/Analysis!$AB24))</f>
        <v>2.5651142145407015</v>
      </c>
      <c r="L24" s="114">
        <f>('Raw Values'!$V24+K24)*(0.1^('Raw Values'!$F24/'Raw Values'!$AD24))</f>
        <v>2.6116905538493973</v>
      </c>
      <c r="M24" s="114">
        <f>('Raw Values'!$V24+L24)*(0.1^('Raw Values'!$F24/'Raw Values'!$AD24))</f>
        <v>2.6311064784821969</v>
      </c>
      <c r="N24" s="114">
        <f>('Raw Values'!$V24+M24)*(0.1^('Raw Values'!$F24/'Raw Values'!$AD24))</f>
        <v>2.6392002474417549</v>
      </c>
      <c r="O24" s="114">
        <f>('Raw Values'!$V24+N24)*(0.1^('Raw Values'!$F24/'Raw Values'!$AD24))</f>
        <v>2.6425742354031647</v>
      </c>
      <c r="P24" s="114">
        <f>('Raw Values'!$V24+O24)*(0.1^('Raw Values'!$F24/'Raw Values'!$AD24))</f>
        <v>2.643980724125615</v>
      </c>
      <c r="Q24" s="114">
        <f>('Raw Values'!$V24+P24)*(0.1^('Raw Values'!$F24/'Raw Values'!$AD24))</f>
        <v>2.6445670363913982</v>
      </c>
      <c r="R24" s="114">
        <f>('Raw Values'!$V24+Q24)*(0.1^('Raw Values'!$F24/'Raw Values'!$AD24))</f>
        <v>2.6448114479302332</v>
      </c>
      <c r="S24" s="114">
        <f>('Raw Values'!$V24+R24)*(0.1^('Raw Values'!$F24/'Raw Values'!$AD24))</f>
        <v>2.6449133339111377</v>
      </c>
      <c r="T24" s="114">
        <f>('Raw Values'!$V24+S24)*(0.1^('Raw Values'!$F24/'Raw Values'!$AD24))</f>
        <v>2.6449558063457634</v>
      </c>
      <c r="U24" s="114">
        <f>('Raw Values'!$V24+T24)*(0.1^('Raw Values'!$F24/'Raw Values'!$AD24))</f>
        <v>2.6449735115068367</v>
      </c>
      <c r="V24" s="114">
        <f>('Raw Values'!$V24+U24)*(0.1^('Raw Values'!$F24/'Raw Values'!$AD24))</f>
        <v>2.6449808921227911</v>
      </c>
      <c r="W24" s="114">
        <f>('Raw Values'!$V24+V24)*(0.1^('Raw Values'!$F24/'Raw Values'!$AD24))</f>
        <v>2.6449839688240786</v>
      </c>
      <c r="X24" s="114">
        <f>('Raw Values'!$V24+W24)*(0.1^('Raw Values'!$F24/'Raw Values'!$AD24))</f>
        <v>2.6449852513851644</v>
      </c>
      <c r="Y24" s="114">
        <f>('Raw Values'!$V24+X24)*(0.1^('Raw Values'!$F24/'Raw Values'!$AD24))</f>
        <v>2.6449857860366581</v>
      </c>
      <c r="Z24" s="114">
        <f>('Raw Values'!$V24+Y24)*(0.1^('Raw Values'!$F24/'Raw Values'!$AD24))</f>
        <v>2.6449860089127633</v>
      </c>
      <c r="AA24" s="114">
        <f>('Raw Values'!$V24+Z24)*(0.1^('Raw Values'!$F24/'Raw Values'!$AD24))</f>
        <v>2.6449861018214316</v>
      </c>
      <c r="AB24" s="114">
        <f>('Raw Values'!$V24+AA24)*(0.1^('Raw Values'!$F24/'Raw Values'!$AD24))</f>
        <v>2.6449861405515622</v>
      </c>
      <c r="AC24" s="114">
        <f>('Raw Values'!$V24+AB24)*(0.1^('Raw Values'!$F24/'Raw Values'!$AD24))</f>
        <v>2.6449861566966972</v>
      </c>
      <c r="AD24" s="114">
        <f>('Raw Values'!$V24+AC24)*(0.1^('Raw Values'!$F24/'Raw Values'!$AD24))</f>
        <v>2.6449861634269971</v>
      </c>
      <c r="AE24" s="114">
        <f>('Raw Values'!$V24+AD24)*(0.1^('Raw Values'!$F24/'Raw Values'!$AD24))</f>
        <v>2.6449861662326062</v>
      </c>
      <c r="AF24" s="114">
        <f>('Raw Values'!$V24+AE24)*(0.1^('Raw Values'!$F24/'Raw Values'!$AD24))</f>
        <v>2.6449861674021591</v>
      </c>
      <c r="AG24" s="114">
        <f>('Raw Values'!$V24+AF24)*(0.1^('Raw Values'!$F24/'Raw Values'!$AD24))</f>
        <v>2.6449861678897015</v>
      </c>
      <c r="AH24" s="114">
        <f>('Raw Values'!$V24+AG24)*(0.1^('Raw Values'!$F24/'Raw Values'!$AD24))</f>
        <v>2.6449861680929398</v>
      </c>
      <c r="AI24" s="114">
        <f>('Raw Values'!$V24+AH24)*(0.1^('Raw Values'!$F24/'Raw Values'!$AD24))</f>
        <v>2.6449861681776623</v>
      </c>
      <c r="AJ24" s="114">
        <f>('Raw Values'!$V24+AI24)*(0.1^('Raw Values'!$F24/'Raw Values'!$AD24))</f>
        <v>2.6449861682129798</v>
      </c>
    </row>
    <row r="25" spans="1:36" ht="15.75" customHeight="1" x14ac:dyDescent="0.15">
      <c r="A25" s="9" t="s">
        <v>164</v>
      </c>
      <c r="B25" s="83">
        <f>'Raw Values'!F25</f>
        <v>7.0000000000000007E-2</v>
      </c>
      <c r="C25" s="15">
        <f>'Raw Values'!V25</f>
        <v>2.85</v>
      </c>
      <c r="D25" s="22">
        <f>'Raw Values'!AC25</f>
        <v>0.26578400000000002</v>
      </c>
      <c r="E25" s="33" t="s">
        <v>236</v>
      </c>
      <c r="F25" s="176"/>
      <c r="G25" s="21">
        <v>0</v>
      </c>
      <c r="H25" s="114">
        <f>('Raw Values'!$V25)*(0.1^('Raw Values'!$F25/'Raw Values'!$AC25))</f>
        <v>1.5540790269951874</v>
      </c>
      <c r="I25" s="114">
        <f>('Raw Values'!$V25+H25)*(0.1^('Raw Values'!$F25/'Raw Values'!$AC25))</f>
        <v>2.4015041575728397</v>
      </c>
      <c r="J25" s="114">
        <f>('Raw Values'!$V25+I25)*(0.1^('Raw Values'!$F25/Analysis!$AA25))</f>
        <v>2.8635973584077123</v>
      </c>
      <c r="K25" s="114">
        <f>('Raw Values'!$V25+J25)*(0.1^('Raw Values'!$F25/Analysis!$AB25))</f>
        <v>3.115572569612818</v>
      </c>
      <c r="L25" s="114">
        <f>('Raw Values'!$V25+K25)*(0.1^('Raw Values'!$F25/'Raw Values'!$AD25))</f>
        <v>3.2529723559484451</v>
      </c>
      <c r="M25" s="114">
        <f>('Raw Values'!$V25+L25)*(0.1^('Raw Values'!$F25/'Raw Values'!$AD25))</f>
        <v>3.3278952072669776</v>
      </c>
      <c r="N25" s="114">
        <f>('Raw Values'!$V25+M25)*(0.1^('Raw Values'!$F25/'Raw Values'!$AD25))</f>
        <v>3.3687499552939291</v>
      </c>
      <c r="O25" s="114">
        <f>('Raw Values'!$V25+N25)*(0.1^('Raw Values'!$F25/'Raw Values'!$AD25))</f>
        <v>3.3910276770700194</v>
      </c>
      <c r="P25" s="114">
        <f>('Raw Values'!$V25+O25)*(0.1^('Raw Values'!$F25/'Raw Values'!$AD25))</f>
        <v>3.4031755157301791</v>
      </c>
      <c r="Q25" s="114">
        <f>('Raw Values'!$V25+P25)*(0.1^('Raw Values'!$F25/'Raw Values'!$AD25))</f>
        <v>3.409799621444241</v>
      </c>
      <c r="R25" s="114">
        <f>('Raw Values'!$V25+Q25)*(0.1^('Raw Values'!$F25/'Raw Values'!$AD25))</f>
        <v>3.4134116859224242</v>
      </c>
      <c r="S25" s="114">
        <f>('Raw Values'!$V25+R25)*(0.1^('Raw Values'!$F25/'Raw Values'!$AD25))</f>
        <v>3.4153813117644236</v>
      </c>
      <c r="T25" s="114">
        <f>('Raw Values'!$V25+S25)*(0.1^('Raw Values'!$F25/'Raw Values'!$AD25))</f>
        <v>3.416455330786206</v>
      </c>
      <c r="U25" s="114">
        <f>('Raw Values'!$V25+T25)*(0.1^('Raw Values'!$F25/'Raw Values'!$AD25))</f>
        <v>3.4170409835708888</v>
      </c>
      <c r="V25" s="114">
        <f>('Raw Values'!$V25+U25)*(0.1^('Raw Values'!$F25/'Raw Values'!$AD25))</f>
        <v>3.417360334697126</v>
      </c>
      <c r="W25" s="114">
        <f>('Raw Values'!$V25+V25)*(0.1^('Raw Values'!$F25/'Raw Values'!$AD25))</f>
        <v>3.4175344739559095</v>
      </c>
      <c r="X25" s="114">
        <f>('Raw Values'!$V25+W25)*(0.1^('Raw Values'!$F25/'Raw Values'!$AD25))</f>
        <v>3.4176294305067345</v>
      </c>
      <c r="Y25" s="114">
        <f>('Raw Values'!$V25+X25)*(0.1^('Raw Values'!$F25/'Raw Values'!$AD25))</f>
        <v>3.4176812094485287</v>
      </c>
      <c r="Z25" s="114">
        <f>('Raw Values'!$V25+Y25)*(0.1^('Raw Values'!$F25/'Raw Values'!$AD25))</f>
        <v>3.4177094440336107</v>
      </c>
      <c r="AA25" s="114">
        <f>('Raw Values'!$V25+Z25)*(0.1^('Raw Values'!$F25/'Raw Values'!$AD25))</f>
        <v>3.417724840095544</v>
      </c>
      <c r="AB25" s="114">
        <f>('Raw Values'!$V25+AA25)*(0.1^('Raw Values'!$F25/'Raw Values'!$AD25))</f>
        <v>3.4177332354278072</v>
      </c>
      <c r="AC25" s="114">
        <f>('Raw Values'!$V25+AB25)*(0.1^('Raw Values'!$F25/'Raw Values'!$AD25))</f>
        <v>3.4177378133259806</v>
      </c>
      <c r="AD25" s="114">
        <f>('Raw Values'!$V25+AC25)*(0.1^('Raw Values'!$F25/'Raw Values'!$AD25))</f>
        <v>3.4177403096121348</v>
      </c>
      <c r="AE25" s="114">
        <f>('Raw Values'!$V25+AD25)*(0.1^('Raw Values'!$F25/'Raw Values'!$AD25))</f>
        <v>3.417741670814225</v>
      </c>
      <c r="AF25" s="114">
        <f>('Raw Values'!$V25+AE25)*(0.1^('Raw Values'!$F25/'Raw Values'!$AD25))</f>
        <v>3.4177424130653193</v>
      </c>
      <c r="AG25" s="114">
        <f>('Raw Values'!$V25+AF25)*(0.1^('Raw Values'!$F25/'Raw Values'!$AD25))</f>
        <v>3.4177428178080769</v>
      </c>
      <c r="AH25" s="114">
        <f>('Raw Values'!$V25+AG25)*(0.1^('Raw Values'!$F25/'Raw Values'!$AD25))</f>
        <v>3.4177430385106145</v>
      </c>
      <c r="AI25" s="114">
        <f>('Raw Values'!$V25+AH25)*(0.1^('Raw Values'!$F25/'Raw Values'!$AD25))</f>
        <v>3.4177431588576965</v>
      </c>
      <c r="AJ25" s="114">
        <f>('Raw Values'!$V25+AI25)*(0.1^('Raw Values'!$F25/'Raw Values'!$AD25))</f>
        <v>3.4177432244818635</v>
      </c>
    </row>
    <row r="26" spans="1:36" ht="15.75" customHeight="1" x14ac:dyDescent="0.15">
      <c r="A26" s="9" t="s">
        <v>165</v>
      </c>
      <c r="B26" s="83">
        <f>'Raw Values'!F26</f>
        <v>0.09</v>
      </c>
      <c r="C26" s="15">
        <f>'Raw Values'!V26</f>
        <v>3.42</v>
      </c>
      <c r="D26" s="22">
        <f>'Raw Values'!AC26</f>
        <v>0.24999499999999999</v>
      </c>
      <c r="E26" s="33" t="s">
        <v>236</v>
      </c>
      <c r="F26" s="176"/>
      <c r="G26" s="21">
        <v>0</v>
      </c>
      <c r="H26" s="114">
        <f>('Raw Values'!$V26)*(0.1^('Raw Values'!$F26/'Raw Values'!$AC26))</f>
        <v>1.4928593960235046</v>
      </c>
      <c r="I26" s="114">
        <f>('Raw Values'!$V26+H26)*(0.1^('Raw Values'!$F26/'Raw Values'!$AC26))</f>
        <v>2.1445053540046928</v>
      </c>
      <c r="J26" s="114">
        <f>('Raw Values'!$V26+I26)*(0.1^('Raw Values'!$F26/Analysis!$AA26))</f>
        <v>2.4289544157745624</v>
      </c>
      <c r="K26" s="114">
        <f>('Raw Values'!$V26+J26)*(0.1^('Raw Values'!$F26/Analysis!$AB26))</f>
        <v>2.5531188761702408</v>
      </c>
      <c r="L26" s="114">
        <f>('Raw Values'!$V26+K26)*(0.1^('Raw Values'!$F26/'Raw Values'!$AD26))</f>
        <v>2.6073177303672805</v>
      </c>
      <c r="M26" s="114">
        <f>('Raw Values'!$V26+L26)*(0.1^('Raw Values'!$F26/'Raw Values'!$AD26))</f>
        <v>2.6309759960812453</v>
      </c>
      <c r="N26" s="114">
        <f>('Raw Values'!$V26+M26)*(0.1^('Raw Values'!$F26/'Raw Values'!$AD26))</f>
        <v>2.6413030324159568</v>
      </c>
      <c r="O26" s="114">
        <f>('Raw Values'!$V26+N26)*(0.1^('Raw Values'!$F26/'Raw Values'!$AD26))</f>
        <v>2.645810872540328</v>
      </c>
      <c r="P26" s="114">
        <f>('Raw Values'!$V26+O26)*(0.1^('Raw Values'!$F26/'Raw Values'!$AD26))</f>
        <v>2.6477785835009828</v>
      </c>
      <c r="Q26" s="114">
        <f>('Raw Values'!$V26+P26)*(0.1^('Raw Values'!$F26/'Raw Values'!$AD26))</f>
        <v>2.6486375062484311</v>
      </c>
      <c r="R26" s="114">
        <f>('Raw Values'!$V26+Q26)*(0.1^('Raw Values'!$F26/'Raw Values'!$AD26))</f>
        <v>2.649012433410415</v>
      </c>
      <c r="S26" s="114">
        <f>('Raw Values'!$V26+R26)*(0.1^('Raw Values'!$F26/'Raw Values'!$AD26))</f>
        <v>2.6491760923392431</v>
      </c>
      <c r="T26" s="114">
        <f>('Raw Values'!$V26+S26)*(0.1^('Raw Values'!$F26/'Raw Values'!$AD26))</f>
        <v>2.6492475308683789</v>
      </c>
      <c r="U26" s="114">
        <f>('Raw Values'!$V26+T26)*(0.1^('Raw Values'!$F26/'Raw Values'!$AD26))</f>
        <v>2.6492787144003844</v>
      </c>
      <c r="V26" s="114">
        <f>('Raw Values'!$V26+U26)*(0.1^('Raw Values'!$F26/'Raw Values'!$AD26))</f>
        <v>2.6492923262801376</v>
      </c>
      <c r="W26" s="114">
        <f>('Raw Values'!$V26+V26)*(0.1^('Raw Values'!$F26/'Raw Values'!$AD26))</f>
        <v>2.6492982679826484</v>
      </c>
      <c r="X26" s="114">
        <f>('Raw Values'!$V26+W26)*(0.1^('Raw Values'!$F26/'Raw Values'!$AD26))</f>
        <v>2.6493008615868652</v>
      </c>
      <c r="Y26" s="114">
        <f>('Raw Values'!$V26+X26)*(0.1^('Raw Values'!$F26/'Raw Values'!$AD26))</f>
        <v>2.6493019937173985</v>
      </c>
      <c r="Z26" s="114">
        <f>('Raw Values'!$V26+Y26)*(0.1^('Raw Values'!$F26/'Raw Values'!$AD26))</f>
        <v>2.6493024879021077</v>
      </c>
      <c r="AA26" s="114">
        <f>('Raw Values'!$V26+Z26)*(0.1^('Raw Values'!$F26/'Raw Values'!$AD26))</f>
        <v>2.6493027036179808</v>
      </c>
      <c r="AB26" s="114">
        <f>('Raw Values'!$V26+AA26)*(0.1^('Raw Values'!$F26/'Raw Values'!$AD26))</f>
        <v>2.6493027977798134</v>
      </c>
      <c r="AC26" s="114">
        <f>('Raw Values'!$V26+AB26)*(0.1^('Raw Values'!$F26/'Raw Values'!$AD26))</f>
        <v>2.6493028388822628</v>
      </c>
      <c r="AD26" s="114">
        <f>('Raw Values'!$V26+AC26)*(0.1^('Raw Values'!$F26/'Raw Values'!$AD26))</f>
        <v>2.649302856823835</v>
      </c>
      <c r="AE26" s="114">
        <f>('Raw Values'!$V26+AD26)*(0.1^('Raw Values'!$F26/'Raw Values'!$AD26))</f>
        <v>2.6493028646554859</v>
      </c>
      <c r="AF26" s="114"/>
      <c r="AG26" s="114"/>
      <c r="AH26" s="114"/>
      <c r="AI26" s="114"/>
      <c r="AJ26" s="114"/>
    </row>
    <row r="27" spans="1:36" ht="15.75" customHeight="1" x14ac:dyDescent="0.15">
      <c r="A27" s="39"/>
      <c r="B27" s="101"/>
      <c r="C27" s="41"/>
      <c r="D27" s="178"/>
      <c r="E27" s="178"/>
      <c r="F27" s="179"/>
      <c r="G27" s="41"/>
      <c r="H27" s="41"/>
      <c r="I27" s="41"/>
      <c r="J27" s="1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5.75" customHeight="1" x14ac:dyDescent="0.15">
      <c r="A28" s="1" t="s">
        <v>68</v>
      </c>
      <c r="B28" s="69" t="s">
        <v>95</v>
      </c>
      <c r="C28" s="4" t="s">
        <v>234</v>
      </c>
      <c r="D28" s="7" t="s">
        <v>26</v>
      </c>
      <c r="E28" s="7" t="s">
        <v>237</v>
      </c>
      <c r="F28" s="174"/>
      <c r="G28" s="175">
        <v>1</v>
      </c>
      <c r="H28" s="175">
        <v>2</v>
      </c>
      <c r="I28" s="175">
        <v>3</v>
      </c>
      <c r="J28" s="175">
        <v>4</v>
      </c>
      <c r="K28" s="175">
        <v>5</v>
      </c>
      <c r="L28" s="175">
        <v>6</v>
      </c>
      <c r="M28" s="175">
        <v>7</v>
      </c>
      <c r="N28" s="175">
        <v>8</v>
      </c>
      <c r="O28" s="175">
        <v>9</v>
      </c>
      <c r="P28" s="175">
        <v>10</v>
      </c>
      <c r="Q28" s="175">
        <v>11</v>
      </c>
      <c r="R28" s="175">
        <v>12</v>
      </c>
      <c r="S28" s="175">
        <v>13</v>
      </c>
      <c r="T28" s="175">
        <v>14</v>
      </c>
      <c r="U28" s="175">
        <v>15</v>
      </c>
      <c r="V28" s="175">
        <v>16</v>
      </c>
      <c r="W28" s="175">
        <v>17</v>
      </c>
      <c r="X28" s="175">
        <v>18</v>
      </c>
      <c r="Y28" s="175">
        <v>19</v>
      </c>
      <c r="Z28" s="175">
        <v>20</v>
      </c>
      <c r="AA28" s="175">
        <v>21</v>
      </c>
      <c r="AB28" s="175">
        <v>22</v>
      </c>
      <c r="AC28" s="175">
        <v>23</v>
      </c>
      <c r="AD28" s="175">
        <v>24</v>
      </c>
      <c r="AE28" s="175">
        <v>25</v>
      </c>
      <c r="AF28" s="175">
        <v>26</v>
      </c>
      <c r="AG28" s="175">
        <v>27</v>
      </c>
      <c r="AH28" s="175">
        <v>28</v>
      </c>
      <c r="AI28" s="175">
        <v>29</v>
      </c>
      <c r="AJ28" s="175">
        <v>30</v>
      </c>
    </row>
    <row r="29" spans="1:36" ht="15.75" customHeight="1" x14ac:dyDescent="0.15">
      <c r="A29" s="36" t="s">
        <v>166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22">
        <f>'Raw Values'!AD29</f>
        <v>0.41972799999999999</v>
      </c>
      <c r="F29" s="176"/>
      <c r="G29" s="21">
        <v>0</v>
      </c>
      <c r="H29" s="114">
        <f>('Raw Values'!$V29)*(0.1^('Raw Values'!$F29/'Raw Values'!$AC29))</f>
        <v>3.6686120435449303</v>
      </c>
      <c r="I29" s="114">
        <f>('Raw Values'!$V29+H29)*(0.1^('Raw Values'!$F29/'Raw Values'!$AC29))</f>
        <v>5.3940882391914569</v>
      </c>
      <c r="J29" s="114">
        <f>('Raw Values'!$V29+I29)*(0.1^('Raw Values'!$F29/Analysis!$AA29))</f>
        <v>6.7481645597439712</v>
      </c>
      <c r="K29" s="114">
        <f>('Raw Values'!$V29+J29)*(0.1^('Raw Values'!$F29/Analysis!$AB29))</f>
        <v>7.9567146070456198</v>
      </c>
      <c r="L29" s="114">
        <f>('Raw Values'!$V29+K29)*(0.1^('Raw Values'!$F29/'Raw Values'!$AD29))</f>
        <v>9.1036622307904018</v>
      </c>
      <c r="M29" s="114">
        <f>('Raw Values'!$V29+L29)*(0.1^('Raw Values'!$F29/'Raw Values'!$AD29))</f>
        <v>9.7663272611204732</v>
      </c>
      <c r="N29" s="114">
        <f>('Raw Values'!$V29+M29)*(0.1^('Raw Values'!$F29/'Raw Values'!$AD29))</f>
        <v>10.149191250139094</v>
      </c>
      <c r="O29" s="114">
        <f>('Raw Values'!$V29+N29)*(0.1^('Raw Values'!$F29/'Raw Values'!$AD29))</f>
        <v>10.370396274364134</v>
      </c>
      <c r="P29" s="114">
        <f>('Raw Values'!$V29+O29)*(0.1^('Raw Values'!$F29/'Raw Values'!$AD29))</f>
        <v>10.498200570787583</v>
      </c>
      <c r="Q29" s="114">
        <f>('Raw Values'!$V29+P29)*(0.1^('Raw Values'!$F29/'Raw Values'!$AD29))</f>
        <v>10.572041290461636</v>
      </c>
      <c r="R29" s="114">
        <f>('Raw Values'!$V29+Q29)*(0.1^('Raw Values'!$F29/'Raw Values'!$AD29))</f>
        <v>10.614703798957567</v>
      </c>
      <c r="S29" s="114">
        <f>('Raw Values'!$V29+R29)*(0.1^('Raw Values'!$F29/'Raw Values'!$AD29))</f>
        <v>10.639352659900414</v>
      </c>
      <c r="T29" s="114">
        <f>('Raw Values'!$V29+S29)*(0.1^('Raw Values'!$F29/'Raw Values'!$AD29))</f>
        <v>10.653593884038413</v>
      </c>
      <c r="U29" s="114">
        <f>('Raw Values'!$V29+T29)*(0.1^('Raw Values'!$F29/'Raw Values'!$AD29))</f>
        <v>10.661821950455717</v>
      </c>
      <c r="V29" s="114">
        <f>('Raw Values'!$V29+U29)*(0.1^('Raw Values'!$F29/'Raw Values'!$AD29))</f>
        <v>10.666575830902481</v>
      </c>
      <c r="W29" s="114">
        <f>('Raw Values'!$V29+V29)*(0.1^('Raw Values'!$F29/'Raw Values'!$AD29))</f>
        <v>10.669322451816308</v>
      </c>
      <c r="X29" s="114">
        <f>('Raw Values'!$V29+W29)*(0.1^('Raw Values'!$F29/'Raw Values'!$AD29))</f>
        <v>10.670909350462317</v>
      </c>
      <c r="Y29" s="114">
        <f>('Raw Values'!$V29+X29)*(0.1^('Raw Values'!$F29/'Raw Values'!$AD29))</f>
        <v>10.671826203348726</v>
      </c>
      <c r="Z29" s="114">
        <f>('Raw Values'!$V29+Y29)*(0.1^('Raw Values'!$F29/'Raw Values'!$AD29))</f>
        <v>10.672355927926555</v>
      </c>
      <c r="AA29" s="114">
        <f>('Raw Values'!$V29+Z29)*(0.1^('Raw Values'!$F29/'Raw Values'!$AD29))</f>
        <v>10.672661983709892</v>
      </c>
      <c r="AB29" s="114">
        <f>('Raw Values'!$V29+AA29)*(0.1^('Raw Values'!$F29/'Raw Values'!$AD29))</f>
        <v>10.672838811719078</v>
      </c>
      <c r="AC29" s="114">
        <f>('Raw Values'!$V29+AB29)*(0.1^('Raw Values'!$F29/'Raw Values'!$AD29))</f>
        <v>10.672940976574427</v>
      </c>
      <c r="AD29" s="114">
        <f>('Raw Values'!$V29+AC29)*(0.1^('Raw Values'!$F29/'Raw Values'!$AD29))</f>
        <v>10.673000003748438</v>
      </c>
      <c r="AE29" s="114">
        <f>('Raw Values'!$V29+AD29)*(0.1^('Raw Values'!$F29/'Raw Values'!$AD29))</f>
        <v>10.673034107523751</v>
      </c>
      <c r="AF29" s="114">
        <f>('Raw Values'!$V29+AE29)*(0.1^('Raw Values'!$F29/'Raw Values'!$AD29))</f>
        <v>10.673053811456899</v>
      </c>
      <c r="AG29" s="114">
        <f>('Raw Values'!$V29+AF29)*(0.1^('Raw Values'!$F29/'Raw Values'!$AD29))</f>
        <v>10.673065195679847</v>
      </c>
      <c r="AH29" s="114">
        <f>('Raw Values'!$V29+AG29)*(0.1^('Raw Values'!$F29/'Raw Values'!$AD29))</f>
        <v>10.673071773073868</v>
      </c>
      <c r="AI29" s="114">
        <f>('Raw Values'!$V29+AH29)*(0.1^('Raw Values'!$F29/'Raw Values'!$AD29))</f>
        <v>10.673075573255254</v>
      </c>
      <c r="AJ29" s="114">
        <f>('Raw Values'!$V29+AI29)*(0.1^('Raw Values'!$F29/'Raw Values'!$AD29))</f>
        <v>10.673077768863196</v>
      </c>
    </row>
    <row r="30" spans="1:36" ht="15.75" customHeight="1" x14ac:dyDescent="0.15">
      <c r="A30" s="35" t="s">
        <v>168</v>
      </c>
      <c r="B30" s="83">
        <f>'Raw Values'!F30</f>
        <v>0.1</v>
      </c>
      <c r="C30" s="15">
        <f>'Raw Values'!V30</f>
        <v>7.29</v>
      </c>
      <c r="D30" s="22">
        <f>'Raw Values'!AC30</f>
        <v>0.30552000000000001</v>
      </c>
      <c r="E30" s="33" t="s">
        <v>236</v>
      </c>
      <c r="F30" s="176"/>
      <c r="G30" s="21">
        <v>0</v>
      </c>
      <c r="H30" s="114">
        <f>('Raw Values'!$V30)*(0.1^('Raw Values'!$F30/'Raw Values'!$AC30))</f>
        <v>3.4309683671760269</v>
      </c>
      <c r="I30" s="114">
        <f>('Raw Values'!$V30+H30)*(0.1^('Raw Values'!$F30/'Raw Values'!$AC30))</f>
        <v>5.0457206218485284</v>
      </c>
      <c r="J30" s="114">
        <f>('Raw Values'!$V30+I30)*(0.1^('Raw Values'!$F30/Analysis!$AA30))</f>
        <v>5.8056882359236335</v>
      </c>
      <c r="K30" s="114">
        <f>('Raw Values'!$V30+J30)*(0.1^('Raw Values'!$F30/Analysis!$AB30))</f>
        <v>6.1633596822843915</v>
      </c>
      <c r="L30" s="114">
        <f>('Raw Values'!$V30+K30)*(0.1^('Raw Values'!$F30/'Raw Values'!$AD30))</f>
        <v>6.3316943075664023</v>
      </c>
      <c r="M30" s="114">
        <f>('Raw Values'!$V30+L30)*(0.1^('Raw Values'!$F30/'Raw Values'!$AD30))</f>
        <v>6.4109193795064581</v>
      </c>
      <c r="N30" s="114">
        <f>('Raw Values'!$V30+M30)*(0.1^('Raw Values'!$F30/'Raw Values'!$AD30))</f>
        <v>6.4482058974369902</v>
      </c>
      <c r="O30" s="114">
        <f>('Raw Values'!$V30+N30)*(0.1^('Raw Values'!$F30/'Raw Values'!$AD30))</f>
        <v>6.4657544383892258</v>
      </c>
      <c r="P30" s="114">
        <f>('Raw Values'!$V30+O30)*(0.1^('Raw Values'!$F30/'Raw Values'!$AD30))</f>
        <v>6.4740134903641513</v>
      </c>
      <c r="Q30" s="114">
        <f>('Raw Values'!$V30+P30)*(0.1^('Raw Values'!$F30/'Raw Values'!$AD30))</f>
        <v>6.4779005337206446</v>
      </c>
      <c r="R30" s="114">
        <f>('Raw Values'!$V30+Q30)*(0.1^('Raw Values'!$F30/'Raw Values'!$AD30))</f>
        <v>6.4797299332814093</v>
      </c>
      <c r="S30" s="114">
        <f>('Raw Values'!$V30+R30)*(0.1^('Raw Values'!$F30/'Raw Values'!$AD30))</f>
        <v>6.4805909225851002</v>
      </c>
      <c r="T30" s="114">
        <f>('Raw Values'!$V30+S30)*(0.1^('Raw Values'!$F30/'Raw Values'!$AD30))</f>
        <v>6.4809961389178081</v>
      </c>
      <c r="U30" s="114">
        <f>('Raw Values'!$V30+T30)*(0.1^('Raw Values'!$F30/'Raw Values'!$AD30))</f>
        <v>6.4811868500864485</v>
      </c>
      <c r="V30" s="114">
        <f>('Raw Values'!$V30+U30)*(0.1^('Raw Values'!$F30/'Raw Values'!$AD30))</f>
        <v>6.4812766064632479</v>
      </c>
      <c r="W30" s="114">
        <f>('Raw Values'!$V30+V30)*(0.1^('Raw Values'!$F30/'Raw Values'!$AD30))</f>
        <v>6.4813188494384946</v>
      </c>
      <c r="X30" s="114">
        <f>('Raw Values'!$V30+W30)*(0.1^('Raw Values'!$F30/'Raw Values'!$AD30))</f>
        <v>6.4813387306883996</v>
      </c>
      <c r="Y30" s="114">
        <f>('Raw Values'!$V30+X30)*(0.1^('Raw Values'!$F30/'Raw Values'!$AD30))</f>
        <v>6.481348087607401</v>
      </c>
      <c r="Z30" s="114">
        <f>('Raw Values'!$V30+Y30)*(0.1^('Raw Values'!$F30/'Raw Values'!$AD30))</f>
        <v>6.4813524913513119</v>
      </c>
      <c r="AA30" s="114">
        <f>('Raw Values'!$V30+Z30)*(0.1^('Raw Values'!$F30/'Raw Values'!$AD30))</f>
        <v>6.4813545639310179</v>
      </c>
      <c r="AB30" s="114">
        <f>('Raw Values'!$V30+AA30)*(0.1^('Raw Values'!$F30/'Raw Values'!$AD30))</f>
        <v>6.4813555393707176</v>
      </c>
      <c r="AC30" s="114">
        <f>('Raw Values'!$V30+AB30)*(0.1^('Raw Values'!$F30/'Raw Values'!$AD30))</f>
        <v>6.4813559984520275</v>
      </c>
      <c r="AD30" s="114">
        <f>('Raw Values'!$V30+AC30)*(0.1^('Raw Values'!$F30/'Raw Values'!$AD30))</f>
        <v>6.4813562145142294</v>
      </c>
      <c r="AE30" s="114">
        <f>('Raw Values'!$V30+AD30)*(0.1^('Raw Values'!$F30/'Raw Values'!$AD30))</f>
        <v>6.4813563162018273</v>
      </c>
      <c r="AF30" s="114">
        <f>('Raw Values'!$V30+AE30)*(0.1^('Raw Values'!$F30/'Raw Values'!$AD30))</f>
        <v>6.4813563640601171</v>
      </c>
      <c r="AG30" s="114">
        <f>('Raw Values'!$V30+AF30)*(0.1^('Raw Values'!$F30/'Raw Values'!$AD30))</f>
        <v>6.481356386584161</v>
      </c>
      <c r="AH30" s="114">
        <f>('Raw Values'!$V30+AG30)*(0.1^('Raw Values'!$F30/'Raw Values'!$AD30))</f>
        <v>6.4813563971848849</v>
      </c>
      <c r="AI30" s="114">
        <f>('Raw Values'!$V30+AH30)*(0.1^('Raw Values'!$F30/'Raw Values'!$AD30))</f>
        <v>6.481356402174014</v>
      </c>
      <c r="AJ30" s="114">
        <f>('Raw Values'!$V30+AI30)*(0.1^('Raw Values'!$F30/'Raw Values'!$AD30))</f>
        <v>6.4813564045220993</v>
      </c>
    </row>
    <row r="31" spans="1:36" ht="15.75" customHeight="1" x14ac:dyDescent="0.15">
      <c r="A31" s="35" t="s">
        <v>169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22">
        <f>'Raw Values'!AD31</f>
        <v>0.48</v>
      </c>
      <c r="F31" s="176"/>
      <c r="G31" s="21">
        <v>0</v>
      </c>
      <c r="H31" s="114">
        <f>('Raw Values'!$V31)*(0.1^('Raw Values'!$F31/'Raw Values'!$AC31))</f>
        <v>1.0758590430735484</v>
      </c>
      <c r="I31" s="114">
        <f>('Raw Values'!$V31+H31)*(0.1^('Raw Values'!$F31/'Raw Values'!$AC31))</f>
        <v>1.2671768415137354</v>
      </c>
      <c r="J31" s="114">
        <f>('Raw Values'!$V31+I31)*(0.1^('Raw Values'!$F31/Analysis!$AA31))</f>
        <v>3.0856278890349396</v>
      </c>
      <c r="K31" s="114">
        <f>('Raw Values'!$V31+J31)*(0.1^('Raw Values'!$F31/Analysis!$AB31))</f>
        <v>5.1373410935658192</v>
      </c>
      <c r="L31" s="114">
        <f>('Raw Values'!$V31+K31)*(0.1^('Raw Values'!$F31/'Raw Values'!$AD31))</f>
        <v>7.2648538123393687</v>
      </c>
      <c r="M31" s="114">
        <f>('Raw Values'!$V31+L31)*(0.1^('Raw Values'!$F31/'Raw Values'!$AD31))</f>
        <v>8.6464214928556764</v>
      </c>
      <c r="N31" s="114">
        <f>('Raw Values'!$V31+M31)*(0.1^('Raw Values'!$F31/'Raw Values'!$AD31))</f>
        <v>9.543586167362319</v>
      </c>
      <c r="O31" s="114">
        <f>('Raw Values'!$V31+N31)*(0.1^('Raw Values'!$F31/'Raw Values'!$AD31))</f>
        <v>10.126188427485982</v>
      </c>
      <c r="P31" s="114">
        <f>('Raw Values'!$V31+O31)*(0.1^('Raw Values'!$F31/'Raw Values'!$AD31))</f>
        <v>10.504519633725076</v>
      </c>
      <c r="Q31" s="114">
        <f>('Raw Values'!$V31+P31)*(0.1^('Raw Values'!$F31/'Raw Values'!$AD31))</f>
        <v>10.750200969708814</v>
      </c>
      <c r="R31" s="114">
        <f>('Raw Values'!$V31+Q31)*(0.1^('Raw Values'!$F31/'Raw Values'!$AD31))</f>
        <v>10.909741916517758</v>
      </c>
      <c r="S31" s="114">
        <f>('Raw Values'!$V31+R31)*(0.1^('Raw Values'!$F31/'Raw Values'!$AD31))</f>
        <v>11.013344876859762</v>
      </c>
      <c r="T31" s="114">
        <f>('Raw Values'!$V31+S31)*(0.1^('Raw Values'!$F31/'Raw Values'!$AD31))</f>
        <v>11.080622736282779</v>
      </c>
      <c r="U31" s="114">
        <f>('Raw Values'!$V31+T31)*(0.1^('Raw Values'!$F31/'Raw Values'!$AD31))</f>
        <v>11.124311742403851</v>
      </c>
      <c r="V31" s="114">
        <f>('Raw Values'!$V31+U31)*(0.1^('Raw Values'!$F31/'Raw Values'!$AD31))</f>
        <v>11.152682580480699</v>
      </c>
      <c r="W31" s="114">
        <f>('Raw Values'!$V31+V31)*(0.1^('Raw Values'!$F31/'Raw Values'!$AD31))</f>
        <v>11.171106081600225</v>
      </c>
      <c r="X31" s="114">
        <f>('Raw Values'!$V31+W31)*(0.1^('Raw Values'!$F31/'Raw Values'!$AD31))</f>
        <v>11.183069964816569</v>
      </c>
      <c r="Y31" s="114">
        <f>('Raw Values'!$V31+X31)*(0.1^('Raw Values'!$F31/'Raw Values'!$AD31))</f>
        <v>11.190839090819585</v>
      </c>
      <c r="Z31" s="114">
        <f>('Raw Values'!$V31+Y31)*(0.1^('Raw Values'!$F31/'Raw Values'!$AD31))</f>
        <v>11.195884218539344</v>
      </c>
      <c r="AA31" s="114">
        <f>('Raw Values'!$V31+Z31)*(0.1^('Raw Values'!$F31/'Raw Values'!$AD31))</f>
        <v>11.199160431809513</v>
      </c>
      <c r="AB31" s="114">
        <f>('Raw Values'!$V31+AA31)*(0.1^('Raw Values'!$F31/'Raw Values'!$AD31))</f>
        <v>11.201287944528287</v>
      </c>
      <c r="AC31" s="114">
        <f>('Raw Values'!$V31+AB31)*(0.1^('Raw Values'!$F31/'Raw Values'!$AD31))</f>
        <v>11.202669512208804</v>
      </c>
      <c r="AD31" s="114">
        <f>('Raw Values'!$V31+AC31)*(0.1^('Raw Values'!$F31/'Raw Values'!$AD31))</f>
        <v>11.203566676883311</v>
      </c>
      <c r="AE31" s="114">
        <f>('Raw Values'!$V31+AD31)*(0.1^('Raw Values'!$F31/'Raw Values'!$AD31))</f>
        <v>11.204149279143435</v>
      </c>
      <c r="AF31" s="114"/>
      <c r="AG31" s="114"/>
      <c r="AH31" s="114"/>
      <c r="AI31" s="114"/>
      <c r="AJ31" s="114"/>
    </row>
    <row r="32" spans="1:36" ht="15.75" customHeight="1" x14ac:dyDescent="0.15">
      <c r="A32" s="36" t="s">
        <v>170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22">
        <f>'Raw Values'!AD32</f>
        <v>0.47</v>
      </c>
      <c r="F32" s="176"/>
      <c r="G32" s="21">
        <v>0</v>
      </c>
      <c r="H32" s="114">
        <f>('Raw Values'!$V32)*(0.1^('Raw Values'!$F32/'Raw Values'!$AC32))</f>
        <v>1.7583205020567065</v>
      </c>
      <c r="I32" s="114">
        <f>('Raw Values'!$V32+H32)*(0.1^('Raw Values'!$F32/'Raw Values'!$AC32))</f>
        <v>2.1999906431928422</v>
      </c>
      <c r="J32" s="114">
        <f>('Raw Values'!$V32+I32)*(0.1^('Raw Values'!$F32/Analysis!$AA32))</f>
        <v>4.1033450188584695</v>
      </c>
      <c r="K32" s="114">
        <f>('Raw Values'!$V32+J32)*(0.1^('Raw Values'!$F32/Analysis!$AB32))</f>
        <v>6.2769318438073842</v>
      </c>
      <c r="L32" s="114">
        <f>('Raw Values'!$V32+K32)*(0.1^('Raw Values'!$F32/'Raw Values'!$AD32))</f>
        <v>8.5429598275405407</v>
      </c>
      <c r="M32" s="114">
        <f>('Raw Values'!$V32+L32)*(0.1^('Raw Values'!$F32/'Raw Values'!$AD32))</f>
        <v>10.001021543971229</v>
      </c>
      <c r="N32" s="114">
        <f>('Raw Values'!$V32+M32)*(0.1^('Raw Values'!$F32/'Raw Values'!$AD32))</f>
        <v>10.939202353820903</v>
      </c>
      <c r="O32" s="114">
        <f>('Raw Values'!$V32+N32)*(0.1^('Raw Values'!$F32/'Raw Values'!$AD32))</f>
        <v>11.542869003902679</v>
      </c>
      <c r="P32" s="114">
        <f>('Raw Values'!$V32+O32)*(0.1^('Raw Values'!$F32/'Raw Values'!$AD32))</f>
        <v>11.931294583060859</v>
      </c>
      <c r="Q32" s="114">
        <f>('Raw Values'!$V32+P32)*(0.1^('Raw Values'!$F32/'Raw Values'!$AD32))</f>
        <v>12.181224623959972</v>
      </c>
      <c r="R32" s="114">
        <f>('Raw Values'!$V32+Q32)*(0.1^('Raw Values'!$F32/'Raw Values'!$AD32))</f>
        <v>12.342040565791633</v>
      </c>
      <c r="S32" s="114">
        <f>('Raw Values'!$V32+R32)*(0.1^('Raw Values'!$F32/'Raw Values'!$AD32))</f>
        <v>12.445516590739128</v>
      </c>
      <c r="T32" s="114">
        <f>('Raw Values'!$V32+S32)*(0.1^('Raw Values'!$F32/'Raw Values'!$AD32))</f>
        <v>12.512097600165061</v>
      </c>
      <c r="U32" s="114">
        <f>('Raw Values'!$V32+T32)*(0.1^('Raw Values'!$F32/'Raw Values'!$AD32))</f>
        <v>12.554938739631192</v>
      </c>
      <c r="V32" s="114">
        <f>('Raw Values'!$V32+U32)*(0.1^('Raw Values'!$F32/'Raw Values'!$AD32))</f>
        <v>12.582504606333739</v>
      </c>
      <c r="W32" s="114">
        <f>('Raw Values'!$V32+V32)*(0.1^('Raw Values'!$F32/'Raw Values'!$AD32))</f>
        <v>12.60024169308101</v>
      </c>
      <c r="X32" s="114">
        <f>('Raw Values'!$V32+W32)*(0.1^('Raw Values'!$F32/'Raw Values'!$AD32))</f>
        <v>12.611654512045671</v>
      </c>
      <c r="Y32" s="114">
        <f>('Raw Values'!$V32+X32)*(0.1^('Raw Values'!$F32/'Raw Values'!$AD32))</f>
        <v>12.618998019949538</v>
      </c>
      <c r="Z32" s="114">
        <f>('Raw Values'!$V32+Y32)*(0.1^('Raw Values'!$F32/'Raw Values'!$AD32))</f>
        <v>12.623723154773907</v>
      </c>
      <c r="AA32" s="114">
        <f>('Raw Values'!$V32+Z32)*(0.1^('Raw Values'!$F32/'Raw Values'!$AD32))</f>
        <v>12.626763513605239</v>
      </c>
      <c r="AB32" s="114">
        <f>('Raw Values'!$V32+AA32)*(0.1^('Raw Values'!$F32/'Raw Values'!$AD32))</f>
        <v>12.628719813725098</v>
      </c>
      <c r="AC32" s="114">
        <f>('Raw Values'!$V32+AB32)*(0.1^('Raw Values'!$F32/'Raw Values'!$AD32))</f>
        <v>12.629978582959675</v>
      </c>
      <c r="AD32" s="114">
        <f>('Raw Values'!$V32+AC32)*(0.1^('Raw Values'!$F32/'Raw Values'!$AD32))</f>
        <v>12.630788530252438</v>
      </c>
      <c r="AE32" s="114">
        <f>('Raw Values'!$V32+AD32)*(0.1^('Raw Values'!$F32/'Raw Values'!$AD32))</f>
        <v>12.631309685837623</v>
      </c>
      <c r="AF32" s="114">
        <f>('Raw Values'!$V32+AE32)*(0.1^('Raw Values'!$F32/'Raw Values'!$AD32))</f>
        <v>12.63164502018147</v>
      </c>
      <c r="AG32" s="114">
        <f>('Raw Values'!$V32+AF32)*(0.1^('Raw Values'!$F32/'Raw Values'!$AD32))</f>
        <v>12.631860788994775</v>
      </c>
      <c r="AH32" s="114">
        <f>('Raw Values'!$V32+AG32)*(0.1^('Raw Values'!$F32/'Raw Values'!$AD32))</f>
        <v>12.631999624105612</v>
      </c>
      <c r="AI32" s="114">
        <f>('Raw Values'!$V32+AH32)*(0.1^('Raw Values'!$F32/'Raw Values'!$AD32))</f>
        <v>12.632088956700557</v>
      </c>
      <c r="AJ32" s="114">
        <f>('Raw Values'!$V32+AI32)*(0.1^('Raw Values'!$F32/'Raw Values'!$AD32))</f>
        <v>12.632146437207265</v>
      </c>
    </row>
    <row r="33" spans="1:36" ht="15.75" customHeight="1" x14ac:dyDescent="0.15">
      <c r="A33" s="35" t="s">
        <v>171</v>
      </c>
      <c r="B33" s="83">
        <f>'Raw Values'!F33</f>
        <v>0.09</v>
      </c>
      <c r="C33" s="15">
        <f>'Raw Values'!V33</f>
        <v>7</v>
      </c>
      <c r="D33" s="22">
        <f>'Raw Values'!AC33</f>
        <v>0.24210000000000001</v>
      </c>
      <c r="E33" s="22">
        <f>'Raw Values'!AD33</f>
        <v>0.33288800000000002</v>
      </c>
      <c r="F33" s="176"/>
      <c r="G33" s="21">
        <v>0</v>
      </c>
      <c r="H33" s="114">
        <f>('Raw Values'!$V33)*(0.1^('Raw Values'!$F33/'Raw Values'!$AC33))</f>
        <v>2.9740675478721337</v>
      </c>
      <c r="I33" s="114">
        <f>('Raw Values'!$V33+H33)*(0.1^('Raw Values'!$F33/'Raw Values'!$AC33))</f>
        <v>4.2376500877730141</v>
      </c>
      <c r="J33" s="114">
        <f>('Raw Values'!$V33+I33)*(0.1^('Raw Values'!$F33/Analysis!$AA33))</f>
        <v>5.2508999238108673</v>
      </c>
      <c r="K33" s="114">
        <f>('Raw Values'!$V33+J33)*(0.1^('Raw Values'!$F33/Analysis!$AB33))</f>
        <v>6.1768997125126681</v>
      </c>
      <c r="L33" s="114">
        <f>('Raw Values'!$V33+K33)*(0.1^('Raw Values'!$F33/'Raw Values'!$AD33))</f>
        <v>7.0705311188692992</v>
      </c>
      <c r="M33" s="114">
        <f>('Raw Values'!$V33+L33)*(0.1^('Raw Values'!$F33/'Raw Values'!$AD33))</f>
        <v>7.5500406245418326</v>
      </c>
      <c r="N33" s="114">
        <f>('Raw Values'!$V33+M33)*(0.1^('Raw Values'!$F33/'Raw Values'!$AD33))</f>
        <v>7.8073383922733273</v>
      </c>
      <c r="O33" s="114">
        <f>('Raw Values'!$V33+N33)*(0.1^('Raw Values'!$F33/'Raw Values'!$AD33))</f>
        <v>7.9454006006267539</v>
      </c>
      <c r="P33" s="114">
        <f>('Raw Values'!$V33+O33)*(0.1^('Raw Values'!$F33/'Raw Values'!$AD33))</f>
        <v>8.0194827566574141</v>
      </c>
      <c r="Q33" s="114">
        <f>('Raw Values'!$V33+P33)*(0.1^('Raw Values'!$F33/'Raw Values'!$AD33))</f>
        <v>8.0592341550133053</v>
      </c>
      <c r="R33" s="114">
        <f>('Raw Values'!$V33+Q33)*(0.1^('Raw Values'!$F33/'Raw Values'!$AD33))</f>
        <v>8.0805641723334638</v>
      </c>
      <c r="S33" s="114">
        <f>('Raw Values'!$V33+R33)*(0.1^('Raw Values'!$F33/'Raw Values'!$AD33))</f>
        <v>8.09200954677803</v>
      </c>
      <c r="T33" s="114">
        <f>('Raw Values'!$V33+S33)*(0.1^('Raw Values'!$F33/'Raw Values'!$AD33))</f>
        <v>8.0981509668345684</v>
      </c>
      <c r="U33" s="114">
        <f>('Raw Values'!$V33+T33)*(0.1^('Raw Values'!$F33/'Raw Values'!$AD33))</f>
        <v>8.1014463627601039</v>
      </c>
      <c r="V33" s="114">
        <f>('Raw Values'!$V33+U33)*(0.1^('Raw Values'!$F33/'Raw Values'!$AD33))</f>
        <v>8.1032146238798539</v>
      </c>
      <c r="W33" s="114">
        <f>('Raw Values'!$V33+V33)*(0.1^('Raw Values'!$F33/'Raw Values'!$AD33))</f>
        <v>8.1041634468614543</v>
      </c>
      <c r="X33" s="114">
        <f>('Raw Values'!$V33+W33)*(0.1^('Raw Values'!$F33/'Raw Values'!$AD33))</f>
        <v>8.1046725713569039</v>
      </c>
      <c r="Y33" s="114">
        <f>('Raw Values'!$V33+X33)*(0.1^('Raw Values'!$F33/'Raw Values'!$AD33))</f>
        <v>8.1049457600937824</v>
      </c>
      <c r="Z33" s="114">
        <f>('Raw Values'!$V33+Y33)*(0.1^('Raw Values'!$F33/'Raw Values'!$AD33))</f>
        <v>8.1050923491631064</v>
      </c>
      <c r="AA33" s="114">
        <f>('Raw Values'!$V33+Z33)*(0.1^('Raw Values'!$F33/'Raw Values'!$AD33))</f>
        <v>8.1051710067076694</v>
      </c>
      <c r="AB33" s="114">
        <f>('Raw Values'!$V33+AA33)*(0.1^('Raw Values'!$F33/'Raw Values'!$AD33))</f>
        <v>8.1052132131924051</v>
      </c>
      <c r="AC33" s="114">
        <f>('Raw Values'!$V33+AB33)*(0.1^('Raw Values'!$F33/'Raw Values'!$AD33))</f>
        <v>8.1052358605730674</v>
      </c>
      <c r="AD33" s="114">
        <f>('Raw Values'!$V33+AC33)*(0.1^('Raw Values'!$F33/'Raw Values'!$AD33))</f>
        <v>8.1052480128253599</v>
      </c>
      <c r="AE33" s="114">
        <f>('Raw Values'!$V33+AD33)*(0.1^('Raw Values'!$F33/'Raw Values'!$AD33))</f>
        <v>8.1052545335457005</v>
      </c>
      <c r="AF33" s="114">
        <f>('Raw Values'!$V33+AE33)*(0.1^('Raw Values'!$F33/'Raw Values'!$AD33))</f>
        <v>8.1052580324685959</v>
      </c>
      <c r="AG33" s="114">
        <f>('Raw Values'!$V33+AF33)*(0.1^('Raw Values'!$F33/'Raw Values'!$AD33))</f>
        <v>8.1052599099393028</v>
      </c>
      <c r="AH33" s="114">
        <f>('Raw Values'!$V33+AG33)*(0.1^('Raw Values'!$F33/'Raw Values'!$AD33))</f>
        <v>8.1052609173625463</v>
      </c>
      <c r="AI33" s="114">
        <f>('Raw Values'!$V33+AH33)*(0.1^('Raw Values'!$F33/'Raw Values'!$AD33))</f>
        <v>8.1052614579310838</v>
      </c>
      <c r="AJ33" s="114">
        <f>('Raw Values'!$V33+AI33)*(0.1^('Raw Values'!$F33/'Raw Values'!$AD33))</f>
        <v>8.1052617479922322</v>
      </c>
    </row>
    <row r="34" spans="1:36" ht="15.75" customHeight="1" x14ac:dyDescent="0.15">
      <c r="A34" s="35" t="s">
        <v>172</v>
      </c>
      <c r="B34" s="83">
        <f>'Raw Values'!F34</f>
        <v>0.1</v>
      </c>
      <c r="C34" s="15">
        <f>'Raw Values'!AM34</f>
        <v>7</v>
      </c>
      <c r="D34" s="22">
        <f>'Raw Values'!AC34</f>
        <v>0.24210000000000001</v>
      </c>
      <c r="E34" s="22">
        <f>'Raw Values'!AD34</f>
        <v>0.33288800000000002</v>
      </c>
      <c r="F34" s="176"/>
      <c r="G34" s="21">
        <v>0</v>
      </c>
      <c r="H34" s="114">
        <f>('Raw Values'!$AM34)*(0.1^('Raw Values'!$F34/'Raw Values'!$AC34))</f>
        <v>2.7042421790220108</v>
      </c>
      <c r="I34" s="114">
        <f>('Raw Values'!$AM34+H34)*(0.1^('Raw Values'!$F34/'Raw Values'!$AC34))</f>
        <v>3.7489458594222556</v>
      </c>
      <c r="J34" s="114">
        <f>('Raw Values'!$AM34+I34)*(0.1^('Raw Values'!$F34/Analysis!$AA34))</f>
        <v>4.6153895239196663</v>
      </c>
      <c r="K34" s="114">
        <f>('Raw Values'!$AM34+J34)*(0.1^('Raw Values'!$F34/Analysis!$AB34))</f>
        <v>5.42740432454785</v>
      </c>
      <c r="L34" s="114">
        <f>('Raw Values'!$AM34+K34)*(0.1^('Raw Values'!$F34/'Raw Values'!$AD34))</f>
        <v>6.2227032699534348</v>
      </c>
      <c r="M34" s="114">
        <f>('Raw Values'!$AM34+L34)*(0.1^('Raw Values'!$F34/'Raw Values'!$AD34))</f>
        <v>6.6209287737611975</v>
      </c>
      <c r="N34" s="114">
        <f>('Raw Values'!$AM34+M34)*(0.1^('Raw Values'!$F34/'Raw Values'!$AD34))</f>
        <v>6.820329958434054</v>
      </c>
      <c r="O34" s="114">
        <f>('Raw Values'!$AM34+N34)*(0.1^('Raw Values'!$F34/'Raw Values'!$AD34))</f>
        <v>6.920174976065403</v>
      </c>
      <c r="P34" s="114">
        <f>('Raw Values'!$AM34+O34)*(0.1^('Raw Values'!$F34/'Raw Values'!$AD34))</f>
        <v>6.9701698021350662</v>
      </c>
      <c r="Q34" s="114">
        <f>('Raw Values'!$AM34+P34)*(0.1^('Raw Values'!$F34/'Raw Values'!$AD34))</f>
        <v>6.9952034261759222</v>
      </c>
      <c r="R34" s="114">
        <f>('Raw Values'!$AM34+Q34)*(0.1^('Raw Values'!$F34/'Raw Values'!$AD34))</f>
        <v>7.0077383699268161</v>
      </c>
      <c r="S34" s="114">
        <f>('Raw Values'!$AM34+R34)*(0.1^('Raw Values'!$F34/'Raw Values'!$AD34))</f>
        <v>7.0140149208002187</v>
      </c>
      <c r="T34" s="114">
        <f>('Raw Values'!$AM34+S34)*(0.1^('Raw Values'!$F34/'Raw Values'!$AD34))</f>
        <v>7.0171577423117713</v>
      </c>
      <c r="U34" s="114">
        <f>('Raw Values'!$AM34+T34)*(0.1^('Raw Values'!$F34/'Raw Values'!$AD34))</f>
        <v>7.0187314293976728</v>
      </c>
      <c r="V34" s="114">
        <f>('Raw Values'!$AM34+U34)*(0.1^('Raw Values'!$F34/'Raw Values'!$AD34))</f>
        <v>7.0195194127544207</v>
      </c>
      <c r="W34" s="114">
        <f>('Raw Values'!$AM34+V34)*(0.1^('Raw Values'!$F34/'Raw Values'!$AD34))</f>
        <v>7.0199139751652551</v>
      </c>
      <c r="X34" s="114">
        <f>('Raw Values'!$AM34+W34)*(0.1^('Raw Values'!$F34/'Raw Values'!$AD34))</f>
        <v>7.020111542150282</v>
      </c>
      <c r="Y34" s="114">
        <f>('Raw Values'!$AM34+X34)*(0.1^('Raw Values'!$F34/'Raw Values'!$AD34))</f>
        <v>7.0202104687395881</v>
      </c>
      <c r="Z34" s="114">
        <f>('Raw Values'!$AM34+Y34)*(0.1^('Raw Values'!$F34/'Raw Values'!$AD34))</f>
        <v>7.0202600036862819</v>
      </c>
      <c r="AA34" s="114">
        <f>('Raw Values'!$AM34+Z34)*(0.1^('Raw Values'!$F34/'Raw Values'!$AD34))</f>
        <v>7.0202848070375463</v>
      </c>
      <c r="AB34" s="114">
        <f>('Raw Values'!$AM34+AA34)*(0.1^('Raw Values'!$F34/'Raw Values'!$AD34))</f>
        <v>7.0202972266781236</v>
      </c>
      <c r="AC34" s="114">
        <f>('Raw Values'!$AM34+AB34)*(0.1^('Raw Values'!$F34/'Raw Values'!$AD34))</f>
        <v>7.0203034454938971</v>
      </c>
      <c r="AD34" s="114">
        <f>('Raw Values'!$AM34+AC34)*(0.1^('Raw Values'!$F34/'Raw Values'!$AD34))</f>
        <v>7.0203065594060412</v>
      </c>
      <c r="AE34" s="114">
        <f>('Raw Values'!$AM34+AD34)*(0.1^('Raw Values'!$F34/'Raw Values'!$AD34))</f>
        <v>7.0203081186175043</v>
      </c>
      <c r="AF34" s="114"/>
      <c r="AG34" s="114"/>
      <c r="AH34" s="114"/>
      <c r="AI34" s="114"/>
      <c r="AJ34" s="114"/>
    </row>
    <row r="35" spans="1:36" ht="15.75" customHeight="1" x14ac:dyDescent="0.15">
      <c r="A35" s="36" t="s">
        <v>173</v>
      </c>
      <c r="B35" s="83">
        <f>'Raw Values'!F35</f>
        <v>0.11</v>
      </c>
      <c r="C35" s="15">
        <f>'Raw Values'!V35</f>
        <v>7.95</v>
      </c>
      <c r="D35" s="22">
        <f>'Raw Values'!AC35</f>
        <v>0.37920399999999999</v>
      </c>
      <c r="E35" s="33" t="s">
        <v>236</v>
      </c>
      <c r="F35" s="176"/>
      <c r="G35" s="21">
        <v>0</v>
      </c>
      <c r="H35" s="114">
        <f>('Raw Values'!$V35)*(0.1^('Raw Values'!$F35/'Raw Values'!$AC35))</f>
        <v>4.0764845474329956</v>
      </c>
      <c r="I35" s="114">
        <f>('Raw Values'!$V35+H35)*(0.1^('Raw Values'!$F35/'Raw Values'!$AC35))</f>
        <v>6.1667645808241911</v>
      </c>
      <c r="J35" s="114">
        <f>('Raw Values'!$V35+I35)*(0.1^('Raw Values'!$F35/Analysis!$AA35))</f>
        <v>7.2385877576703459</v>
      </c>
      <c r="K35" s="114">
        <f>('Raw Values'!$V35+J35)*(0.1^('Raw Values'!$F35/Analysis!$AB35))</f>
        <v>7.7881815460972508</v>
      </c>
      <c r="L35" s="114">
        <f>('Raw Values'!$V35+K35)*(0.1^('Raw Values'!$F35/'Raw Values'!$AD35))</f>
        <v>8.0699941984101358</v>
      </c>
      <c r="M35" s="114">
        <f>('Raw Values'!$V35+L35)*(0.1^('Raw Values'!$F35/'Raw Values'!$AD35))</f>
        <v>8.214497962237127</v>
      </c>
      <c r="N35" s="114">
        <f>('Raw Values'!$V35+M35)*(0.1^('Raw Values'!$F35/'Raw Values'!$AD35))</f>
        <v>8.2885944855436229</v>
      </c>
      <c r="O35" s="114">
        <f>('Raw Values'!$V35+N35)*(0.1^('Raw Values'!$F35/'Raw Values'!$AD35))</f>
        <v>8.3265886153898414</v>
      </c>
      <c r="P35" s="114">
        <f>('Raw Values'!$V35+O35)*(0.1^('Raw Values'!$F35/'Raw Values'!$AD35))</f>
        <v>8.3460706887497498</v>
      </c>
      <c r="Q35" s="114">
        <f>('Raw Values'!$V35+P35)*(0.1^('Raw Values'!$F35/'Raw Values'!$AD35))</f>
        <v>8.3560604209514633</v>
      </c>
      <c r="R35" s="114">
        <f>('Raw Values'!$V35+Q35)*(0.1^('Raw Values'!$F35/'Raw Values'!$AD35))</f>
        <v>8.3611828094990468</v>
      </c>
      <c r="S35" s="114">
        <f>('Raw Values'!$V35+R35)*(0.1^('Raw Values'!$F35/'Raw Values'!$AD35))</f>
        <v>8.3638093928651056</v>
      </c>
      <c r="T35" s="114">
        <f>('Raw Values'!$V35+S35)*(0.1^('Raw Values'!$F35/'Raw Values'!$AD35))</f>
        <v>8.3651562138090405</v>
      </c>
      <c r="U35" s="114">
        <f>('Raw Values'!$V35+T35)*(0.1^('Raw Values'!$F35/'Raw Values'!$AD35))</f>
        <v>8.3658468169242735</v>
      </c>
      <c r="V35" s="114">
        <f>('Raw Values'!$V35+U35)*(0.1^('Raw Values'!$F35/'Raw Values'!$AD35))</f>
        <v>8.3662009342736656</v>
      </c>
      <c r="W35" s="114">
        <f>('Raw Values'!$V35+V35)*(0.1^('Raw Values'!$F35/'Raw Values'!$AD35))</f>
        <v>8.3663825133809322</v>
      </c>
      <c r="X35" s="114">
        <f>('Raw Values'!$V35+W35)*(0.1^('Raw Values'!$F35/'Raw Values'!$AD35))</f>
        <v>8.3664756208557627</v>
      </c>
      <c r="Y35" s="114">
        <f>('Raw Values'!$V35+X35)*(0.1^('Raw Values'!$F35/'Raw Values'!$AD35))</f>
        <v>8.3665233631428571</v>
      </c>
      <c r="Z35" s="114">
        <f>('Raw Values'!$V35+Y35)*(0.1^('Raw Values'!$F35/'Raw Values'!$AD35))</f>
        <v>8.3665478437334979</v>
      </c>
      <c r="AA35" s="114">
        <f>('Raw Values'!$V35+Z35)*(0.1^('Raw Values'!$F35/'Raw Values'!$AD35))</f>
        <v>8.3665603965321722</v>
      </c>
      <c r="AB35" s="114">
        <f>('Raw Values'!$V35+AA35)*(0.1^('Raw Values'!$F35/'Raw Values'!$AD35))</f>
        <v>8.366566833172401</v>
      </c>
      <c r="AC35" s="114">
        <f>('Raw Values'!$V35+AB35)*(0.1^('Raw Values'!$F35/'Raw Values'!$AD35))</f>
        <v>8.3665701336584934</v>
      </c>
      <c r="AD35" s="114">
        <f>('Raw Values'!$V35+AC35)*(0.1^('Raw Values'!$F35/'Raw Values'!$AD35))</f>
        <v>8.3665718260334074</v>
      </c>
      <c r="AE35" s="114">
        <f>('Raw Values'!$V35+AD35)*(0.1^('Raw Values'!$F35/'Raw Values'!$AD35))</f>
        <v>8.3665726938246241</v>
      </c>
      <c r="AF35" s="114">
        <f>('Raw Values'!$V35+AE35)*(0.1^('Raw Values'!$F35/'Raw Values'!$AD35))</f>
        <v>8.366573138797893</v>
      </c>
      <c r="AG35" s="114">
        <f>('Raw Values'!$V35+AF35)*(0.1^('Raw Values'!$F35/'Raw Values'!$AD35))</f>
        <v>8.3665733669647668</v>
      </c>
      <c r="AH35" s="114">
        <f>('Raw Values'!$V35+AG35)*(0.1^('Raw Values'!$F35/'Raw Values'!$AD35))</f>
        <v>8.3665734839608366</v>
      </c>
      <c r="AI35" s="114">
        <f>('Raw Values'!$V35+AH35)*(0.1^('Raw Values'!$F35/'Raw Values'!$AD35))</f>
        <v>8.3665735439523665</v>
      </c>
      <c r="AJ35" s="114">
        <f>('Raw Values'!$V35+AI35)*(0.1^('Raw Values'!$F35/'Raw Values'!$AD35))</f>
        <v>8.3665735747139429</v>
      </c>
    </row>
    <row r="36" spans="1:36" ht="15.75" customHeight="1" x14ac:dyDescent="0.15">
      <c r="A36" s="39"/>
      <c r="B36" s="101"/>
      <c r="C36" s="41"/>
      <c r="D36" s="178"/>
      <c r="E36" s="178"/>
      <c r="F36" s="179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5.75" customHeight="1" x14ac:dyDescent="0.15">
      <c r="A37" s="1" t="s">
        <v>79</v>
      </c>
      <c r="B37" s="69" t="s">
        <v>95</v>
      </c>
      <c r="C37" s="4" t="s">
        <v>234</v>
      </c>
      <c r="D37" s="7" t="s">
        <v>26</v>
      </c>
      <c r="E37" s="7" t="s">
        <v>237</v>
      </c>
      <c r="F37" s="174"/>
      <c r="G37" s="175">
        <v>1</v>
      </c>
      <c r="H37" s="175">
        <v>2</v>
      </c>
      <c r="I37" s="175">
        <v>3</v>
      </c>
      <c r="J37" s="175">
        <v>4</v>
      </c>
      <c r="K37" s="175">
        <v>5</v>
      </c>
      <c r="L37" s="175">
        <v>6</v>
      </c>
      <c r="M37" s="175">
        <v>7</v>
      </c>
      <c r="N37" s="175">
        <v>8</v>
      </c>
      <c r="O37" s="175">
        <v>9</v>
      </c>
      <c r="P37" s="175">
        <v>10</v>
      </c>
      <c r="Q37" s="175">
        <v>11</v>
      </c>
      <c r="R37" s="175">
        <v>12</v>
      </c>
      <c r="S37" s="175">
        <v>13</v>
      </c>
      <c r="T37" s="175">
        <v>14</v>
      </c>
      <c r="U37" s="175">
        <v>15</v>
      </c>
      <c r="V37" s="175">
        <v>16</v>
      </c>
      <c r="W37" s="175">
        <v>17</v>
      </c>
      <c r="X37" s="175">
        <v>18</v>
      </c>
      <c r="Y37" s="175">
        <v>19</v>
      </c>
      <c r="Z37" s="175">
        <v>20</v>
      </c>
      <c r="AA37" s="175">
        <v>21</v>
      </c>
      <c r="AB37" s="175">
        <v>22</v>
      </c>
      <c r="AC37" s="175">
        <v>23</v>
      </c>
      <c r="AD37" s="175">
        <v>24</v>
      </c>
      <c r="AE37" s="175">
        <v>25</v>
      </c>
      <c r="AF37" s="175">
        <v>26</v>
      </c>
      <c r="AG37" s="175">
        <v>27</v>
      </c>
      <c r="AH37" s="175">
        <v>28</v>
      </c>
      <c r="AI37" s="175">
        <v>29</v>
      </c>
      <c r="AJ37" s="175">
        <v>30</v>
      </c>
    </row>
    <row r="38" spans="1:36" ht="15.75" customHeight="1" x14ac:dyDescent="0.15">
      <c r="A38" s="9" t="s">
        <v>174</v>
      </c>
      <c r="B38" s="83">
        <f>'Raw Values'!F38</f>
        <v>0.08</v>
      </c>
      <c r="C38" s="15">
        <f>'Raw Values'!V38</f>
        <v>3.56</v>
      </c>
      <c r="D38" s="22">
        <f>'Raw Values'!AC38</f>
        <v>0.59209299999999998</v>
      </c>
      <c r="E38" s="33" t="s">
        <v>236</v>
      </c>
      <c r="F38" s="176"/>
      <c r="G38" s="21">
        <v>0</v>
      </c>
      <c r="H38" s="114">
        <f>('Raw Values'!$V38)*(0.1^('Raw Values'!$F38/'Raw Values'!$AC38))</f>
        <v>2.6081711608246732</v>
      </c>
      <c r="I38" s="114">
        <f>('Raw Values'!$V38+H38)*(0.1^('Raw Values'!$F38/'Raw Values'!$AC38))</f>
        <v>4.5190017237902698</v>
      </c>
      <c r="J38" s="114">
        <f>('Raw Values'!$V38+I38)*(0.1^('Raw Values'!$F38/Analysis!$AA38))</f>
        <v>5.9189380068097197</v>
      </c>
      <c r="K38" s="114">
        <f>('Raw Values'!$V38+J38)*(0.1^('Raw Values'!$F38/Analysis!$AB38))</f>
        <v>6.9445766136533766</v>
      </c>
      <c r="L38" s="114">
        <f>('Raw Values'!$V38+K38)*(0.1^('Raw Values'!$F38/'Raw Values'!$AD38))</f>
        <v>7.6959926349449557</v>
      </c>
      <c r="M38" s="114">
        <f>('Raw Values'!$V38+L38)*(0.1^('Raw Values'!$F38/'Raw Values'!$AD38))</f>
        <v>8.2465043193590883</v>
      </c>
      <c r="N38" s="114">
        <f>('Raw Values'!$V38+M38)*(0.1^('Raw Values'!$F38/'Raw Values'!$AD38))</f>
        <v>8.6498269876135705</v>
      </c>
      <c r="O38" s="114">
        <f>('Raw Values'!$V38+N38)*(0.1^('Raw Values'!$F38/'Raw Values'!$AD38))</f>
        <v>8.9453142212787942</v>
      </c>
      <c r="P38" s="114">
        <f>('Raw Values'!$V38+O38)*(0.1^('Raw Values'!$F38/'Raw Values'!$AD38))</f>
        <v>9.1617977272443838</v>
      </c>
      <c r="Q38" s="114">
        <f>('Raw Values'!$V38+P38)*(0.1^('Raw Values'!$F38/'Raw Values'!$AD38))</f>
        <v>9.3204005466414817</v>
      </c>
      <c r="R38" s="114">
        <f>('Raw Values'!$V38+Q38)*(0.1^('Raw Values'!$F38/'Raw Values'!$AD38))</f>
        <v>9.436598102702435</v>
      </c>
      <c r="S38" s="114">
        <f>('Raw Values'!$V38+R38)*(0.1^('Raw Values'!$F38/'Raw Values'!$AD38))</f>
        <v>9.5217281910947058</v>
      </c>
      <c r="T38" s="114">
        <f>('Raw Values'!$V38+S38)*(0.1^('Raw Values'!$F38/'Raw Values'!$AD38))</f>
        <v>9.5840972476854862</v>
      </c>
      <c r="U38" s="114">
        <f>('Raw Values'!$V38+T38)*(0.1^('Raw Values'!$F38/'Raw Values'!$AD38))</f>
        <v>9.6297908360922033</v>
      </c>
      <c r="V38" s="114">
        <f>('Raw Values'!$V38+U38)*(0.1^('Raw Values'!$F38/'Raw Values'!$AD38))</f>
        <v>9.6632674370801226</v>
      </c>
      <c r="W38" s="114">
        <f>('Raw Values'!$V38+V38)*(0.1^('Raw Values'!$F38/'Raw Values'!$AD38))</f>
        <v>9.6877934778832486</v>
      </c>
      <c r="X38" s="114">
        <f>('Raw Values'!$V38+W38)*(0.1^('Raw Values'!$F38/'Raw Values'!$AD38))</f>
        <v>9.7057620487573839</v>
      </c>
      <c r="Y38" s="114">
        <f>('Raw Values'!$V38+X38)*(0.1^('Raw Values'!$F38/'Raw Values'!$AD38))</f>
        <v>9.7189264050369211</v>
      </c>
      <c r="Z38" s="114">
        <f>('Raw Values'!$V38+Y38)*(0.1^('Raw Values'!$F38/'Raw Values'!$AD38))</f>
        <v>9.7285710382950992</v>
      </c>
      <c r="AA38" s="114">
        <f>('Raw Values'!$V38+Z38)*(0.1^('Raw Values'!$F38/'Raw Values'!$AD38))</f>
        <v>9.7356370086099044</v>
      </c>
      <c r="AB38" s="114">
        <f>('Raw Values'!$V38+AA38)*(0.1^('Raw Values'!$F38/'Raw Values'!$AD38))</f>
        <v>9.7408137670363981</v>
      </c>
      <c r="AC38" s="114">
        <f>('Raw Values'!$V38+AB38)*(0.1^('Raw Values'!$F38/'Raw Values'!$AD38))</f>
        <v>9.7446064277202566</v>
      </c>
      <c r="AD38" s="114">
        <f>('Raw Values'!$V38+AC38)*(0.1^('Raw Values'!$F38/'Raw Values'!$AD38))</f>
        <v>9.7473850536243116</v>
      </c>
      <c r="AE38" s="114">
        <f>('Raw Values'!$V38+AD38)*(0.1^('Raw Values'!$F38/'Raw Values'!$AD38))</f>
        <v>9.7494207648461302</v>
      </c>
      <c r="AF38" s="114">
        <f>('Raw Values'!$V38+AE38)*(0.1^('Raw Values'!$F38/'Raw Values'!$AD38))</f>
        <v>9.7509121927395341</v>
      </c>
      <c r="AG38" s="114">
        <f>('Raw Values'!$V38+AF38)*(0.1^('Raw Values'!$F38/'Raw Values'!$AD38))</f>
        <v>9.7520048610597652</v>
      </c>
      <c r="AH38" s="114">
        <f>('Raw Values'!$V38+AG38)*(0.1^('Raw Values'!$F38/'Raw Values'!$AD38))</f>
        <v>9.7528053852173979</v>
      </c>
      <c r="AI38" s="114">
        <f>('Raw Values'!$V38+AH38)*(0.1^('Raw Values'!$F38/'Raw Values'!$AD38))</f>
        <v>9.753391875111074</v>
      </c>
      <c r="AJ38" s="114">
        <f>('Raw Values'!$V38+AI38)*(0.1^('Raw Values'!$F38/'Raw Values'!$AD38))</f>
        <v>9.7538215565792754</v>
      </c>
    </row>
    <row r="39" spans="1:36" ht="15.75" customHeight="1" x14ac:dyDescent="0.15">
      <c r="A39" s="9" t="s">
        <v>176</v>
      </c>
      <c r="B39" s="83">
        <f>'Raw Values'!F39</f>
        <v>7.4999999999999997E-2</v>
      </c>
      <c r="C39" s="15">
        <f>'Raw Values'!V39</f>
        <v>30</v>
      </c>
      <c r="D39" s="22">
        <f>'Raw Values'!AC39</f>
        <v>0.25</v>
      </c>
      <c r="E39" s="22">
        <f>'Raw Values'!AD39</f>
        <v>0.08</v>
      </c>
      <c r="F39" s="176"/>
      <c r="G39" s="21">
        <v>0</v>
      </c>
      <c r="H39" s="114">
        <f>('Raw Values'!$V39)*(0.1^('Raw Values'!$F39/'Raw Values'!$AC39))</f>
        <v>15.035617008818171</v>
      </c>
      <c r="I39" s="114">
        <f>('Raw Values'!$V39+H39)*(0.1^('Raw Values'!$F39/'Raw Values'!$AC39))</f>
        <v>22.571276303346913</v>
      </c>
      <c r="J39" s="114">
        <f>('Raw Values'!$V39+I39)*(0.1^('Raw Values'!$F39/'Raw Values'!$AC39))</f>
        <v>26.348052538729416</v>
      </c>
      <c r="K39" s="114">
        <f>('Raw Values'!$V39+J39)*(0.1^('Raw Values'!$F39/'Raw Values'!$AC39))</f>
        <v>28.240924572169998</v>
      </c>
      <c r="L39" s="114">
        <f>('Raw Values'!$V39+K39)*(0.1^('Raw Values'!$F39/'Raw Values'!$AC39))</f>
        <v>29.189607870220513</v>
      </c>
      <c r="M39" s="114">
        <f>('Raw Values'!$V39+L39)*(0.1^('Raw Values'!$F39/'Raw Values'!$AC39))</f>
        <v>29.665075827958848</v>
      </c>
      <c r="N39" s="114">
        <f>('Raw Values'!$V39+M39)*(0.1^('Raw Values'!$F39/'Raw Values'!$AC39))</f>
        <v>29.903374298376129</v>
      </c>
      <c r="O39" s="114">
        <f>('Raw Values'!$V39+N39)*(0.1^('Raw Values'!$F39/'Raw Values'!$AC39))</f>
        <v>30.02280644954218</v>
      </c>
      <c r="P39" s="114">
        <f>('Raw Values'!$V39+O39)*(0.1^('Raw Values'!$F39/'Raw Values'!$AC39))</f>
        <v>30.082664318991245</v>
      </c>
      <c r="Q39" s="114">
        <f>('Raw Values'!$V39+P39)*(0.1^('Raw Values'!$F39/Analysis!$AH39))</f>
        <v>24.593375930270611</v>
      </c>
      <c r="R39" s="114">
        <f>('Raw Values'!$V39+Q39)*(0.1^('Raw Values'!$F39/Analysis!$AI39))</f>
        <v>15.429770380348737</v>
      </c>
      <c r="S39" s="114">
        <f>('Raw Values'!$V39+R39)*(0.1^('Raw Values'!$F39/'Raw Values'!$AD39))</f>
        <v>5.2461480403805476</v>
      </c>
      <c r="T39" s="114">
        <f>('Raw Values'!$V39+S39)*(0.1^('Raw Values'!$F39/'Raw Values'!$AD39))</f>
        <v>4.0701616786729113</v>
      </c>
      <c r="U39" s="114">
        <f>('Raw Values'!$V39+T39)*(0.1^('Raw Values'!$F39/'Raw Values'!$AD39))</f>
        <v>3.9343608921988631</v>
      </c>
      <c r="V39" s="114">
        <f>('Raw Values'!$V39+U39)*(0.1^('Raw Values'!$F39/'Raw Values'!$AD39))</f>
        <v>3.9186788620261739</v>
      </c>
      <c r="W39" s="114">
        <f>('Raw Values'!$V39+V39)*(0.1^('Raw Values'!$F39/'Raw Values'!$AD39))</f>
        <v>3.9168679294334967</v>
      </c>
      <c r="X39" s="114">
        <f>('Raw Values'!$V39+W39)*(0.1^('Raw Values'!$F39/'Raw Values'!$AD39))</f>
        <v>3.9166588062001448</v>
      </c>
      <c r="Y39" s="114">
        <f>('Raw Values'!$V39+X39)*(0.1^('Raw Values'!$F39/'Raw Values'!$AD39))</f>
        <v>3.9166346570259001</v>
      </c>
      <c r="Z39" s="114">
        <f>('Raw Values'!$V39+Y39)*(0.1^('Raw Values'!$F39/'Raw Values'!$AD39))</f>
        <v>3.9166318683227637</v>
      </c>
      <c r="AA39" s="114">
        <f>('Raw Values'!$V39+Z39)*(0.1^('Raw Values'!$F39/'Raw Values'!$AD39))</f>
        <v>3.9166315462883494</v>
      </c>
      <c r="AB39" s="114">
        <f>('Raw Values'!$V39+AA39)*(0.1^('Raw Values'!$F39/'Raw Values'!$AD39))</f>
        <v>3.9166315091003954</v>
      </c>
      <c r="AC39" s="114">
        <f>('Raw Values'!$V39+AB39)*(0.1^('Raw Values'!$F39/'Raw Values'!$AD39))</f>
        <v>3.9166315048059976</v>
      </c>
      <c r="AD39" s="114">
        <f>('Raw Values'!$V39+AC39)*(0.1^('Raw Values'!$F39/'Raw Values'!$AD39))</f>
        <v>3.9166315043100881</v>
      </c>
      <c r="AE39" s="114">
        <f>('Raw Values'!$V39+AD39)*(0.1^('Raw Values'!$F39/'Raw Values'!$AD39))</f>
        <v>3.9166315042528215</v>
      </c>
      <c r="AF39" s="114">
        <f>('Raw Values'!$V39+AE39)*(0.1^('Raw Values'!$F39/'Raw Values'!$AD39))</f>
        <v>3.9166315042462081</v>
      </c>
      <c r="AG39" s="114">
        <f>('Raw Values'!$V39+AF39)*(0.1^('Raw Values'!$F39/'Raw Values'!$AD39))</f>
        <v>3.9166315042454447</v>
      </c>
      <c r="AH39" s="114">
        <f>('Raw Values'!$V39+AG39)*(0.1^('Raw Values'!$F39/'Raw Values'!$AD39))</f>
        <v>3.9166315042453563</v>
      </c>
      <c r="AI39" s="114">
        <f>('Raw Values'!$V39+AH39)*(0.1^('Raw Values'!$F39/'Raw Values'!$AD39))</f>
        <v>3.9166315042453466</v>
      </c>
      <c r="AJ39" s="114">
        <f>('Raw Values'!$V39+AI39)*(0.1^('Raw Values'!$F39/'Raw Values'!$AD39))</f>
        <v>3.9166315042453448</v>
      </c>
    </row>
    <row r="40" spans="1:36" ht="15.75" customHeight="1" x14ac:dyDescent="0.15">
      <c r="A40" s="39"/>
      <c r="B40" s="101"/>
      <c r="C40" s="177"/>
      <c r="D40" s="178"/>
      <c r="E40" s="178"/>
      <c r="F40" s="179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spans="1:36" ht="15.75" customHeight="1" x14ac:dyDescent="0.15">
      <c r="A41" s="1" t="s">
        <v>82</v>
      </c>
      <c r="B41" s="69" t="s">
        <v>95</v>
      </c>
      <c r="C41" s="4" t="s">
        <v>234</v>
      </c>
      <c r="D41" s="7" t="s">
        <v>26</v>
      </c>
      <c r="E41" s="7" t="s">
        <v>237</v>
      </c>
      <c r="F41" s="174"/>
      <c r="G41" s="175">
        <v>1</v>
      </c>
      <c r="H41" s="175">
        <v>2</v>
      </c>
      <c r="I41" s="175">
        <v>3</v>
      </c>
      <c r="J41" s="175">
        <v>4</v>
      </c>
      <c r="K41" s="175">
        <v>5</v>
      </c>
      <c r="L41" s="175">
        <v>6</v>
      </c>
      <c r="M41" s="175">
        <v>7</v>
      </c>
      <c r="N41" s="175">
        <v>8</v>
      </c>
      <c r="O41" s="175">
        <v>9</v>
      </c>
      <c r="P41" s="175">
        <v>10</v>
      </c>
      <c r="Q41" s="175">
        <v>11</v>
      </c>
      <c r="R41" s="175">
        <v>12</v>
      </c>
      <c r="S41" s="175">
        <v>13</v>
      </c>
      <c r="T41" s="175">
        <v>14</v>
      </c>
      <c r="U41" s="175">
        <v>15</v>
      </c>
      <c r="V41" s="175">
        <v>16</v>
      </c>
      <c r="W41" s="175">
        <v>17</v>
      </c>
      <c r="X41" s="175">
        <v>18</v>
      </c>
      <c r="Y41" s="175">
        <v>19</v>
      </c>
      <c r="Z41" s="175">
        <v>20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spans="1:36" ht="15.75" customHeight="1" x14ac:dyDescent="0.15">
      <c r="A42" s="9" t="s">
        <v>177</v>
      </c>
      <c r="B42" s="83">
        <f>'Raw Values'!F42</f>
        <v>1.4550000000000001</v>
      </c>
      <c r="C42" s="15">
        <f>'Raw Values'!V42</f>
        <v>53.85</v>
      </c>
      <c r="D42" s="22">
        <f>'Raw Values'!AC42</f>
        <v>0.24671000000000001</v>
      </c>
      <c r="E42" s="33" t="s">
        <v>236</v>
      </c>
      <c r="F42" s="176"/>
      <c r="G42" s="21">
        <v>0</v>
      </c>
      <c r="H42" s="114">
        <f>('Raw Values'!$V42)*(0.1^('Raw Values'!$F42/'Raw Values'!$AC42))</f>
        <v>6.8166834368232191E-5</v>
      </c>
      <c r="I42" s="114">
        <f>('Raw Values'!$V42+H42)*(0.1^('Raw Values'!$F42/'Raw Values'!$AC42))</f>
        <v>6.81669206582472E-5</v>
      </c>
      <c r="J42" s="114">
        <f>('Raw Values'!$V42+I42)*(0.1^('Raw Values'!$F42/Analysis!$AA42))</f>
        <v>6.816692065835642E-5</v>
      </c>
      <c r="K42" s="114">
        <f>('Raw Values'!$V42+J42)*(0.1^('Raw Values'!$F42/Analysis!$AB42))</f>
        <v>6.816692065835642E-5</v>
      </c>
      <c r="L42" s="114">
        <f>('Raw Values'!$V42+K42)*(0.1^('Raw Values'!$F42/'Raw Values'!$AD42))</f>
        <v>6.816692065835642E-5</v>
      </c>
      <c r="M42" s="114">
        <f>('Raw Values'!$V42+L42)*(0.1^('Raw Values'!$F42/'Raw Values'!$AD42))</f>
        <v>6.816692065835642E-5</v>
      </c>
      <c r="N42" s="114">
        <f>('Raw Values'!$V42+M42)*(0.1^('Raw Values'!$F42/'Raw Values'!$AD42))</f>
        <v>6.816692065835642E-5</v>
      </c>
      <c r="O42" s="114">
        <f>('Raw Values'!$V42+N42)*(0.1^('Raw Values'!$F42/'Raw Values'!$AD42))</f>
        <v>6.816692065835642E-5</v>
      </c>
      <c r="P42" s="114">
        <f>('Raw Values'!$V42+O42)*(0.1^('Raw Values'!$F42/'Raw Values'!$AD42))</f>
        <v>6.816692065835642E-5</v>
      </c>
      <c r="Q42" s="114"/>
      <c r="R42" s="114"/>
      <c r="S42" s="114"/>
      <c r="T42" s="114"/>
      <c r="U42" s="114"/>
      <c r="V42" s="114"/>
      <c r="W42" s="114"/>
      <c r="X42" s="114"/>
      <c r="Y42" s="21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spans="1:36" ht="15.75" customHeight="1" x14ac:dyDescent="0.15">
      <c r="A43" s="36" t="s">
        <v>179</v>
      </c>
      <c r="B43" s="83">
        <f>'Raw Values'!F43</f>
        <v>0.25</v>
      </c>
      <c r="C43" s="15">
        <f>'Raw Values'!V43</f>
        <v>18.61</v>
      </c>
      <c r="D43" s="22">
        <f>'Raw Values'!AC43</f>
        <v>0.38880799999999999</v>
      </c>
      <c r="E43" s="33" t="s">
        <v>236</v>
      </c>
      <c r="F43" s="176"/>
      <c r="G43" s="21">
        <v>0</v>
      </c>
      <c r="H43" s="114">
        <f>('Raw Values'!$V43)*(0.1^('Raw Values'!$F43/'Raw Values'!$AC43))</f>
        <v>4.2340451825199574</v>
      </c>
      <c r="I43" s="114">
        <f>('Raw Values'!$V43+H43)*(0.1^('Raw Values'!$F43/'Raw Values'!$AC43))</f>
        <v>5.1973519319890844</v>
      </c>
      <c r="J43" s="114">
        <f>('Raw Values'!$V43+I43)*(0.1^('Raw Values'!$F43/Analysis!$AA43))</f>
        <v>5.416518202912175</v>
      </c>
      <c r="K43" s="114">
        <f>('Raw Values'!$V43+J43)*(0.1^('Raw Values'!$F43/Analysis!$AB43))</f>
        <v>5.4663817114330131</v>
      </c>
      <c r="L43" s="114">
        <f>('Raw Values'!$V43+K43)*(0.1^('Raw Values'!$F43/'Raw Values'!$AD43))</f>
        <v>5.4777263835467256</v>
      </c>
      <c r="M43" s="114">
        <f>('Raw Values'!$V43+L43)*(0.1^('Raw Values'!$F43/'Raw Values'!$AD43))</f>
        <v>5.4803074611560927</v>
      </c>
      <c r="N43" s="114">
        <f>('Raw Values'!$V43+M43)*(0.1^('Raw Values'!$F43/'Raw Values'!$AD43))</f>
        <v>5.4808946937846619</v>
      </c>
      <c r="O43" s="114">
        <f>('Raw Values'!$V43+N43)*(0.1^('Raw Values'!$F43/'Raw Values'!$AD43))</f>
        <v>5.4810282977331841</v>
      </c>
      <c r="P43" s="114">
        <f>('Raw Values'!$V43+O43)*(0.1^('Raw Values'!$F43/'Raw Values'!$AD43))</f>
        <v>5.4810586945711526</v>
      </c>
      <c r="Q43" s="114">
        <f>('Raw Values'!$V43+P43)*(0.1^('Raw Values'!$F43/'Raw Values'!$AD43))</f>
        <v>5.481065610293097</v>
      </c>
      <c r="R43" s="114">
        <f>('Raw Values'!$V43+Q43)*(0.1^('Raw Values'!$F43/'Raw Values'!$AD43))</f>
        <v>5.481067183720242</v>
      </c>
      <c r="S43" s="114">
        <f>('Raw Values'!$V43+R43)*(0.1^('Raw Values'!$F43/'Raw Values'!$AD43))</f>
        <v>5.4810675416977608</v>
      </c>
      <c r="T43" s="114">
        <f>('Raw Values'!$V43+S43)*(0.1^('Raw Values'!$F43/'Raw Values'!$AD43))</f>
        <v>5.4810676231428443</v>
      </c>
      <c r="U43" s="114">
        <f>('Raw Values'!$V43+T43)*(0.1^('Raw Values'!$F43/'Raw Values'!$AD43))</f>
        <v>5.4810676416727828</v>
      </c>
      <c r="V43" s="114">
        <f>('Raw Values'!$V43+U43)*(0.1^('Raw Values'!$F43/'Raw Values'!$AD43))</f>
        <v>5.4810676458886132</v>
      </c>
      <c r="W43" s="114">
        <f>('Raw Values'!$V43+V43)*(0.1^('Raw Values'!$F43/'Raw Values'!$AD43))</f>
        <v>5.4810676468477757</v>
      </c>
      <c r="X43" s="114">
        <f>('Raw Values'!$V43+W43)*(0.1^('Raw Values'!$F43/'Raw Values'!$AD43))</f>
        <v>5.4810676470659994</v>
      </c>
      <c r="Y43" s="21">
        <f>('Raw Values'!$V43+X43)*(0.1^('Raw Values'!$F43/'Raw Values'!$AD43))</f>
        <v>5.4810676471156476</v>
      </c>
      <c r="Z43" s="21">
        <f>('Raw Values'!$V43+Y43)*(0.1^('Raw Values'!$F43/'Raw Values'!$AD43))</f>
        <v>5.4810676471269435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spans="1:36" ht="15.75" customHeight="1" x14ac:dyDescent="0.15">
      <c r="A44" s="35" t="s">
        <v>180</v>
      </c>
      <c r="B44" s="83">
        <f>'Raw Values'!F44</f>
        <v>0.25</v>
      </c>
      <c r="C44" s="15">
        <f>'Raw Values'!V44</f>
        <v>18.61</v>
      </c>
      <c r="D44" s="22">
        <f>'Raw Values'!AC44</f>
        <v>0.38880799999999999</v>
      </c>
      <c r="E44" s="33" t="s">
        <v>236</v>
      </c>
      <c r="F44" s="176"/>
      <c r="G44" s="21">
        <v>0</v>
      </c>
      <c r="H44" s="114">
        <f>('Raw Values'!$V44)*(0.1^('Raw Values'!$F44/'Raw Values'!$AC44))</f>
        <v>4.2340451825199574</v>
      </c>
      <c r="I44" s="114">
        <f>('Raw Values'!$V44+H44)*(0.1^('Raw Values'!$F44/'Raw Values'!$AC44))</f>
        <v>5.1973519319890844</v>
      </c>
      <c r="J44" s="114">
        <f>('Raw Values'!$V44+I44)*(0.1^('Raw Values'!$F44/Analysis!$AA44))</f>
        <v>5.416518202912175</v>
      </c>
      <c r="K44" s="114">
        <f>('Raw Values'!$V44+J44)*(0.1^('Raw Values'!$F44/Analysis!$AB44))</f>
        <v>5.4663817114330131</v>
      </c>
      <c r="L44" s="114">
        <f>('Raw Values'!$V44+K44)*(0.1^('Raw Values'!$F44/'Raw Values'!$AD44))</f>
        <v>5.4777263835467256</v>
      </c>
      <c r="M44" s="114">
        <f>('Raw Values'!$V44+L44)*(0.1^('Raw Values'!$F44/'Raw Values'!$AD44))</f>
        <v>5.4803074611560927</v>
      </c>
      <c r="N44" s="114">
        <f>('Raw Values'!$V44+M44)*(0.1^('Raw Values'!$F44/'Raw Values'!$AD44))</f>
        <v>5.4808946937846619</v>
      </c>
      <c r="O44" s="114">
        <f>('Raw Values'!$V44+N44)*(0.1^('Raw Values'!$F44/'Raw Values'!$AD44))</f>
        <v>5.4810282977331841</v>
      </c>
      <c r="P44" s="114">
        <f>('Raw Values'!$V44+O44)*(0.1^('Raw Values'!$F44/'Raw Values'!$AD44))</f>
        <v>5.4810586945711526</v>
      </c>
      <c r="Q44" s="114">
        <f>('Raw Values'!$V44+P44)*(0.1^('Raw Values'!$F44/'Raw Values'!$AD44))</f>
        <v>5.481065610293097</v>
      </c>
      <c r="R44" s="114">
        <f>('Raw Values'!$V44+Q44)*(0.1^('Raw Values'!$F44/'Raw Values'!$AD44))</f>
        <v>5.481067183720242</v>
      </c>
      <c r="S44" s="114">
        <f>('Raw Values'!$V44+R44)*(0.1^('Raw Values'!$F44/'Raw Values'!$AD44))</f>
        <v>5.4810675416977608</v>
      </c>
      <c r="T44" s="114">
        <f>('Raw Values'!$V44+S44)*(0.1^('Raw Values'!$F44/'Raw Values'!$AD44))</f>
        <v>5.4810676231428443</v>
      </c>
      <c r="U44" s="114">
        <f>('Raw Values'!$V44+T44)*(0.1^('Raw Values'!$F44/'Raw Values'!$AD44))</f>
        <v>5.4810676416727828</v>
      </c>
      <c r="V44" s="114">
        <f>('Raw Values'!$V44+U44)*(0.1^('Raw Values'!$F44/'Raw Values'!$AD44))</f>
        <v>5.4810676458886132</v>
      </c>
      <c r="W44" s="114">
        <f>('Raw Values'!$V44+V44)*(0.1^('Raw Values'!$F44/'Raw Values'!$AD44))</f>
        <v>5.4810676468477757</v>
      </c>
      <c r="X44" s="114">
        <f>('Raw Values'!$V44+W44)*(0.1^('Raw Values'!$F44/'Raw Values'!$AD44))</f>
        <v>5.4810676470659994</v>
      </c>
      <c r="Y44" s="21">
        <f>('Raw Values'!$V44+X44)*(0.1^('Raw Values'!$F44/'Raw Values'!$AD44))</f>
        <v>5.4810676471156476</v>
      </c>
      <c r="Z44" s="21">
        <f>('Raw Values'!$V44+Y44)*(0.1^('Raw Values'!$F44/'Raw Values'!$AD44))</f>
        <v>5.4810676471269435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spans="1:36" ht="15.75" customHeight="1" x14ac:dyDescent="0.15">
      <c r="A45" s="9" t="s">
        <v>181</v>
      </c>
      <c r="B45" s="83">
        <f>'Raw Values'!F45</f>
        <v>1.25</v>
      </c>
      <c r="C45" s="15">
        <f>'Raw Values'!V45</f>
        <v>22.92</v>
      </c>
      <c r="D45" s="22">
        <f>'Raw Values'!AC45</f>
        <v>5.5782999999999999E-2</v>
      </c>
      <c r="E45" s="33" t="s">
        <v>236</v>
      </c>
      <c r="F45" s="176"/>
      <c r="G45" s="21">
        <v>0</v>
      </c>
      <c r="H45" s="114">
        <f>('Raw Values'!$V45)*(0.1^('Raw Values'!$F45/'Raw Values'!$AC45))</f>
        <v>8.9527000071042562E-22</v>
      </c>
      <c r="I45" s="114">
        <f>('Raw Values'!$V45+H45)*(0.1^('Raw Values'!$F45/'Raw Values'!$AC45))</f>
        <v>8.9527000071042562E-22</v>
      </c>
      <c r="J45" s="114">
        <f>('Raw Values'!$V45+I45)*(0.1^('Raw Values'!$F45/Analysis!$AA45))</f>
        <v>8.9527000071042562E-22</v>
      </c>
      <c r="K45" s="114">
        <f>('Raw Values'!$V45+J45)*(0.1^('Raw Values'!$F45/Analysis!$AB45))</f>
        <v>8.9527000071042562E-22</v>
      </c>
      <c r="L45" s="114">
        <f>('Raw Values'!$V45+K45)*(0.1^('Raw Values'!$F45/'Raw Values'!$AD45))</f>
        <v>8.9527000071042562E-22</v>
      </c>
      <c r="M45" s="114">
        <f>('Raw Values'!$V45+L45)*(0.1^('Raw Values'!$F45/'Raw Values'!$AD45))</f>
        <v>8.9527000071042562E-22</v>
      </c>
      <c r="N45" s="114">
        <f>('Raw Values'!$V45+M45)*(0.1^('Raw Values'!$F45/'Raw Values'!$AD45))</f>
        <v>8.9527000071042562E-22</v>
      </c>
      <c r="O45" s="114">
        <f>('Raw Values'!$V45+N45)*(0.1^('Raw Values'!$F45/'Raw Values'!$AD45))</f>
        <v>8.9527000071042562E-22</v>
      </c>
      <c r="P45" s="114">
        <f>('Raw Values'!$V45+O45)*(0.1^('Raw Values'!$F45/'Raw Values'!$AD45))</f>
        <v>8.9527000071042562E-22</v>
      </c>
      <c r="Q45" s="114"/>
      <c r="R45" s="114"/>
      <c r="S45" s="114"/>
      <c r="T45" s="114"/>
      <c r="U45" s="114"/>
      <c r="V45" s="114"/>
      <c r="W45" s="114"/>
      <c r="X45" s="114"/>
      <c r="Y45" s="21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5" width="11.6640625" customWidth="1"/>
    <col min="6" max="6" width="4.5" customWidth="1"/>
    <col min="7" max="36" width="11.6640625" customWidth="1"/>
  </cols>
  <sheetData>
    <row r="1" spans="1:36" ht="15.75" customHeight="1" x14ac:dyDescent="0.15">
      <c r="A1" s="1" t="s">
        <v>0</v>
      </c>
      <c r="B1" s="69" t="s">
        <v>95</v>
      </c>
      <c r="C1" s="4" t="s">
        <v>234</v>
      </c>
      <c r="D1" s="7" t="s">
        <v>26</v>
      </c>
      <c r="E1" s="7" t="s">
        <v>237</v>
      </c>
      <c r="F1" s="174"/>
      <c r="G1" s="175">
        <v>1</v>
      </c>
      <c r="H1" s="175">
        <v>2</v>
      </c>
      <c r="I1" s="175">
        <v>3</v>
      </c>
      <c r="J1" s="175">
        <v>4</v>
      </c>
      <c r="K1" s="175">
        <v>5</v>
      </c>
      <c r="L1" s="175">
        <v>6</v>
      </c>
      <c r="M1" s="175">
        <v>7</v>
      </c>
      <c r="N1" s="175">
        <v>8</v>
      </c>
      <c r="O1" s="175">
        <v>9</v>
      </c>
      <c r="P1" s="175">
        <v>10</v>
      </c>
      <c r="Q1" s="175">
        <v>11</v>
      </c>
      <c r="R1" s="175">
        <v>12</v>
      </c>
      <c r="S1" s="175">
        <v>13</v>
      </c>
      <c r="T1" s="175">
        <v>14</v>
      </c>
      <c r="U1" s="175">
        <v>15</v>
      </c>
      <c r="V1" s="175">
        <v>16</v>
      </c>
      <c r="W1" s="175">
        <v>17</v>
      </c>
      <c r="X1" s="175">
        <v>18</v>
      </c>
      <c r="Y1" s="175">
        <v>19</v>
      </c>
      <c r="Z1" s="175">
        <v>20</v>
      </c>
      <c r="AA1" s="175">
        <v>21</v>
      </c>
      <c r="AB1" s="175">
        <v>22</v>
      </c>
      <c r="AC1" s="175">
        <v>23</v>
      </c>
      <c r="AD1" s="175">
        <v>24</v>
      </c>
      <c r="AE1" s="175">
        <v>25</v>
      </c>
      <c r="AF1" s="175">
        <v>26</v>
      </c>
      <c r="AG1" s="175">
        <v>27</v>
      </c>
      <c r="AH1" s="175">
        <v>28</v>
      </c>
      <c r="AI1" s="175">
        <v>29</v>
      </c>
      <c r="AJ1" s="175">
        <v>30</v>
      </c>
    </row>
    <row r="2" spans="1:36" ht="15.75" customHeight="1" x14ac:dyDescent="0.15">
      <c r="A2" s="9" t="s">
        <v>142</v>
      </c>
      <c r="B2" s="83">
        <f>'Raw Values'!F2</f>
        <v>0.22500000000000001</v>
      </c>
      <c r="C2" s="15">
        <f>'Raw Values'!V2</f>
        <v>72.23</v>
      </c>
      <c r="D2" s="22">
        <f>'Raw Values'!AC2</f>
        <v>0.44992700000000002</v>
      </c>
      <c r="E2" s="33" t="str">
        <f>'Firing Inaccuracy(Crouching) Ra'!E2</f>
        <v>N/A</v>
      </c>
      <c r="F2" s="176"/>
      <c r="G2" s="189">
        <f>'Firing Inaccuracy(Crouching) Ra'!G2+Analysis!$B2</f>
        <v>4.18</v>
      </c>
      <c r="H2" s="189">
        <f>'Firing Inaccuracy(Crouching) Ra'!H2+Analysis!$B2</f>
        <v>27.01686531641656</v>
      </c>
      <c r="I2" s="189">
        <f>'Firing Inaccuracy(Crouching) Ra'!I2+Analysis!$B2</f>
        <v>34.237167372074175</v>
      </c>
      <c r="J2" s="189">
        <f>'Firing Inaccuracy(Crouching) Ra'!J2+Analysis!$B2</f>
        <v>36.520000898156113</v>
      </c>
      <c r="K2" s="189">
        <f>'Firing Inaccuracy(Crouching) Ra'!K2+Analysis!$B2</f>
        <v>37.241761410061599</v>
      </c>
      <c r="L2" s="189">
        <f>'Firing Inaccuracy(Crouching) Ra'!L2+Analysis!$B2</f>
        <v>37.469959493975402</v>
      </c>
      <c r="M2" s="189">
        <f>'Firing Inaccuracy(Crouching) Ra'!M2+Analysis!$B2</f>
        <v>37.542108585873557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</row>
    <row r="3" spans="1:36" ht="15.75" customHeight="1" x14ac:dyDescent="0.15">
      <c r="A3" s="9" t="s">
        <v>144</v>
      </c>
      <c r="B3" s="83">
        <f>'Raw Values'!AY3</f>
        <v>0.4</v>
      </c>
      <c r="C3" s="15">
        <f>'Raw Values'!AM3</f>
        <v>55</v>
      </c>
      <c r="D3" s="22">
        <f>'Raw Values'!AC3</f>
        <v>0.7</v>
      </c>
      <c r="E3" s="33" t="str">
        <f>'Firing Inaccuracy(Crouching) Ra'!E3</f>
        <v>N/A</v>
      </c>
      <c r="F3" s="176"/>
      <c r="G3" s="189">
        <f>'Firing Inaccuracy(Crouching) Ra'!G3+Simple!$U4</f>
        <v>73</v>
      </c>
      <c r="H3" s="189">
        <f>'Firing Inaccuracy(Crouching) Ra'!H3+Simple!$U4</f>
        <v>87.754826874038486</v>
      </c>
      <c r="I3" s="189">
        <f>'Firing Inaccuracy(Crouching) Ra'!I3+Simple!$U4</f>
        <v>91.713098075544821</v>
      </c>
      <c r="J3" s="189">
        <f>'Firing Inaccuracy(Crouching) Ra'!J3+Simple!$U4</f>
        <v>92.774981826430619</v>
      </c>
      <c r="K3" s="189">
        <f>'Firing Inaccuracy(Crouching) Ra'!K3+Simple!$U4</f>
        <v>93.059852933788335</v>
      </c>
      <c r="L3" s="189">
        <f>'Firing Inaccuracy(Crouching) Ra'!L3+Simple!$U4</f>
        <v>93.13627518597886</v>
      </c>
      <c r="M3" s="189">
        <f>'Firing Inaccuracy(Crouching) Ra'!M3+Simple!$U4</f>
        <v>93.156776951440591</v>
      </c>
      <c r="N3" s="189">
        <f>'Firing Inaccuracy(Crouching) Ra'!N3+Simple!$U4</f>
        <v>93.162276951440589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</row>
    <row r="4" spans="1:36" ht="15.75" customHeight="1" x14ac:dyDescent="0.15">
      <c r="A4" s="9" t="s">
        <v>145</v>
      </c>
      <c r="B4" s="83">
        <f>'Raw Values'!F4</f>
        <v>0.12</v>
      </c>
      <c r="C4" s="15">
        <f>'Raw Values'!V4</f>
        <v>11.16</v>
      </c>
      <c r="D4" s="22">
        <f>'Raw Values'!AC4</f>
        <v>0.43749100000000002</v>
      </c>
      <c r="E4" s="33" t="str">
        <f>'Firing Inaccuracy(Crouching) Ra'!E4</f>
        <v>N/A</v>
      </c>
      <c r="F4" s="176"/>
      <c r="G4" s="189">
        <f>'Firing Inaccuracy(Crouching) Ra'!G4+Analysis!$B4</f>
        <v>7.25</v>
      </c>
      <c r="H4" s="189">
        <f>'Firing Inaccuracy(Crouching) Ra'!H4+Analysis!$B4</f>
        <v>13.184345639829221</v>
      </c>
      <c r="I4" s="189">
        <f>'Firing Inaccuracy(Crouching) Ra'!I4+Analysis!$B4</f>
        <v>16.765343371444228</v>
      </c>
      <c r="J4" s="189">
        <f>'Firing Inaccuracy(Crouching) Ra'!J4+Analysis!$B4</f>
        <v>18.244142812571869</v>
      </c>
      <c r="K4" s="189">
        <f>'Firing Inaccuracy(Crouching) Ra'!K4+Analysis!$B4</f>
        <v>19.455897608942934</v>
      </c>
      <c r="L4" s="189">
        <f>'Firing Inaccuracy(Crouching) Ra'!L4+Analysis!$B4</f>
        <v>19.674848798953995</v>
      </c>
      <c r="M4" s="189">
        <f>'Firing Inaccuracy(Crouching) Ra'!M4+Analysis!$B4</f>
        <v>20.216677522219307</v>
      </c>
      <c r="N4" s="189">
        <f>'Firing Inaccuracy(Crouching) Ra'!N4+Analysis!$B4</f>
        <v>20.079394584009663</v>
      </c>
      <c r="O4" s="189">
        <f>'Firing Inaccuracy(Crouching) Ra'!O4+Analysis!$B4</f>
        <v>20.431795310360563</v>
      </c>
      <c r="P4" s="189">
        <f>'Firing Inaccuracy(Crouching) Ra'!P4+Analysis!$B4</f>
        <v>20.193783769323801</v>
      </c>
      <c r="Q4" s="189">
        <f>'Firing Inaccuracy(Crouching) Ra'!Q4+Analysis!$B4</f>
        <v>20.492621919958463</v>
      </c>
      <c r="R4" s="189">
        <f>'Firing Inaccuracy(Crouching) Ra'!R4+Analysis!$B4</f>
        <v>20.226128404221015</v>
      </c>
      <c r="S4" s="189">
        <f>'Firing Inaccuracy(Crouching) Ra'!S4+Analysis!$B4</f>
        <v>20.509821224893422</v>
      </c>
      <c r="T4" s="189">
        <f>'Firing Inaccuracy(Crouching) Ra'!T4+Analysis!$B4</f>
        <v>20.235274158723602</v>
      </c>
      <c r="U4" s="189">
        <f>'Firing Inaccuracy(Crouching) Ra'!U4+Analysis!$B4</f>
        <v>20.5146844926672</v>
      </c>
      <c r="V4" s="189">
        <f>'Firing Inaccuracy(Crouching) Ra'!V4+Analysis!$B4</f>
        <v>20.237860208177779</v>
      </c>
      <c r="W4" s="189">
        <f>'Firing Inaccuracy(Crouching) Ra'!W4+Analysis!$B4</f>
        <v>20.516059628088598</v>
      </c>
      <c r="X4" s="189">
        <f>'Firing Inaccuracy(Crouching) Ra'!X4+Analysis!$B4</f>
        <v>20.238591438365248</v>
      </c>
      <c r="Y4" s="189">
        <f>'Firing Inaccuracy(Crouching) Ra'!Y4+Analysis!$B4</f>
        <v>20.516448460765545</v>
      </c>
      <c r="Z4" s="189">
        <f>'Firing Inaccuracy(Crouching) Ra'!Z4+Analysis!$B4</f>
        <v>20.23879820068613</v>
      </c>
      <c r="AA4" s="189">
        <f>'Firing Inaccuracy(Crouching) Ra'!AA4+Analysis!$B4</f>
        <v>20.516558406919433</v>
      </c>
      <c r="AB4" s="189">
        <f>'Firing Inaccuracy(Crouching) Ra'!AB4+Analysis!$B4</f>
        <v>20.238856664707541</v>
      </c>
      <c r="AC4" s="189">
        <f>'Firing Inaccuracy(Crouching) Ra'!AC4+Analysis!$B4</f>
        <v>20.516589495244752</v>
      </c>
      <c r="AD4" s="189">
        <f>'Firing Inaccuracy(Crouching) Ra'!AD4+Analysis!$B4</f>
        <v>20.238873195968097</v>
      </c>
      <c r="AE4" s="189">
        <f>'Firing Inaccuracy(Crouching) Ra'!AE4+Analysis!$B4</f>
        <v>20.516598285765717</v>
      </c>
      <c r="AF4" s="189">
        <f>'Firing Inaccuracy(Crouching) Ra'!AF4+Analysis!$B4</f>
        <v>20.238877870339941</v>
      </c>
      <c r="AG4" s="189">
        <f>'Firing Inaccuracy(Crouching) Ra'!AG4+Analysis!$B4</f>
        <v>20.516600771369497</v>
      </c>
      <c r="AH4" s="189">
        <f>'Firing Inaccuracy(Crouching) Ra'!AH4+Analysis!$B4</f>
        <v>20.238879192063237</v>
      </c>
      <c r="AI4" s="189">
        <f>'Firing Inaccuracy(Crouching) Ra'!AI4+Analysis!$B4</f>
        <v>20.516601474197714</v>
      </c>
      <c r="AJ4" s="189">
        <f>'Firing Inaccuracy(Crouching) Ra'!AJ4+Analysis!$B4</f>
        <v>20.238879565793123</v>
      </c>
    </row>
    <row r="5" spans="1:36" ht="15.75" customHeight="1" x14ac:dyDescent="0.15">
      <c r="A5" s="35" t="s">
        <v>146</v>
      </c>
      <c r="B5" s="83">
        <f>'Raw Values'!F5</f>
        <v>0.15</v>
      </c>
      <c r="C5" s="15">
        <f>'Raw Values'!V5</f>
        <v>25</v>
      </c>
      <c r="D5" s="22">
        <f>'Raw Values'!AC5</f>
        <v>0.2</v>
      </c>
      <c r="E5" s="33">
        <f>'Firing Inaccuracy(Crouching) Ra'!E5</f>
        <v>0.5</v>
      </c>
      <c r="F5" s="176"/>
      <c r="G5" s="189">
        <f>'Firing Inaccuracy(Crouching) Ra'!G5+Analysis!$B5</f>
        <v>8.83</v>
      </c>
      <c r="H5" s="189">
        <f>'Firing Inaccuracy(Crouching) Ra'!H5+Analysis!$B5</f>
        <v>15.452423219026322</v>
      </c>
      <c r="I5" s="189">
        <f>'Firing Inaccuracy(Crouching) Ra'!I5+Analysis!$B5</f>
        <v>19.575958196424182</v>
      </c>
      <c r="J5" s="189">
        <f>'Firing Inaccuracy(Crouching) Ra'!J5+Analysis!$B5</f>
        <v>23.23423177997212</v>
      </c>
      <c r="K5" s="189">
        <f>'Firing Inaccuracy(Crouching) Ra'!K5+Analysis!$B5</f>
        <v>26.803546271684382</v>
      </c>
      <c r="L5" s="189">
        <f>'Firing Inaccuracy(Crouching) Ra'!L5+Analysis!$B5</f>
        <v>30.36779277505908</v>
      </c>
      <c r="M5" s="189">
        <f>'Firing Inaccuracy(Crouching) Ra'!M5+Analysis!$B5</f>
        <v>32.15414762005112</v>
      </c>
      <c r="N5" s="189">
        <f>'Firing Inaccuracy(Crouching) Ra'!N5+Analysis!$B5</f>
        <v>33.04944586308936</v>
      </c>
      <c r="O5" s="189">
        <f>'Firing Inaccuracy(Crouching) Ra'!O5+Analysis!$B5</f>
        <v>33.498157912789054</v>
      </c>
      <c r="P5" s="189">
        <f>'Firing Inaccuracy(Crouching) Ra'!P5+Analysis!$B5</f>
        <v>33.723046663673266</v>
      </c>
      <c r="Q5" s="189">
        <f>'Firing Inaccuracy(Crouching) Ra'!Q5+Analysis!$B5</f>
        <v>33.835758034602812</v>
      </c>
      <c r="R5" s="189">
        <f>'Firing Inaccuracy(Crouching) Ra'!R5+Analysis!$B5</f>
        <v>33.892247534797335</v>
      </c>
      <c r="S5" s="189">
        <f>'Firing Inaccuracy(Crouching) Ra'!S5+Analysis!$B5</f>
        <v>33.920559351128816</v>
      </c>
      <c r="T5" s="189">
        <f>'Firing Inaccuracy(Crouching) Ra'!T5+Analysis!$B5</f>
        <v>33.934748872034952</v>
      </c>
      <c r="U5" s="189">
        <f>'Firing Inaccuracy(Crouching) Ra'!U5+Analysis!$B5</f>
        <v>33.94186047876439</v>
      </c>
      <c r="V5" s="189">
        <f>'Firing Inaccuracy(Crouching) Ra'!V5+Analysis!$B5</f>
        <v>33.945424725267763</v>
      </c>
      <c r="W5" s="189">
        <f>'Firing Inaccuracy(Crouching) Ra'!W5+Analysis!$B5</f>
        <v>33.947211080112751</v>
      </c>
      <c r="X5" s="189">
        <f>'Firing Inaccuracy(Crouching) Ra'!X5+Analysis!$B5</f>
        <v>33.948106378355796</v>
      </c>
      <c r="Y5" s="189">
        <f>'Firing Inaccuracy(Crouching) Ra'!Y5+Analysis!$B5</f>
        <v>33.948555090405492</v>
      </c>
      <c r="Z5" s="189">
        <f>'Firing Inaccuracy(Crouching) Ra'!Z5+Analysis!$B5</f>
        <v>33.948779979156377</v>
      </c>
      <c r="AA5" s="114"/>
      <c r="AB5" s="114"/>
      <c r="AC5" s="114"/>
      <c r="AD5" s="114"/>
      <c r="AE5" s="114"/>
      <c r="AF5" s="114"/>
      <c r="AG5" s="114"/>
      <c r="AH5" s="114"/>
      <c r="AI5" s="114"/>
      <c r="AJ5" s="114"/>
    </row>
    <row r="6" spans="1:36" ht="15.75" customHeight="1" x14ac:dyDescent="0.15">
      <c r="A6" s="36" t="s">
        <v>147</v>
      </c>
      <c r="B6" s="83">
        <f>'Raw Values'!F6</f>
        <v>0.15</v>
      </c>
      <c r="C6" s="15">
        <f>'Raw Values'!V6</f>
        <v>56</v>
      </c>
      <c r="D6" s="22">
        <f>'Raw Values'!AC6</f>
        <v>0.2</v>
      </c>
      <c r="E6" s="33">
        <f>'Firing Inaccuracy(Crouching) Ra'!E6</f>
        <v>0.33</v>
      </c>
      <c r="F6" s="176"/>
      <c r="G6" s="189">
        <f>'Firing Inaccuracy(Crouching) Ra'!G6+Analysis!$B6</f>
        <v>6.2</v>
      </c>
      <c r="H6" s="189">
        <f>'Firing Inaccuracy(Crouching) Ra'!H6+Analysis!$B6</f>
        <v>18.347061011671549</v>
      </c>
      <c r="I6" s="189">
        <f>'Firing Inaccuracy(Crouching) Ra'!I6+Analysis!$B6</f>
        <v>23.506491581547273</v>
      </c>
      <c r="J6" s="189">
        <f>'Firing Inaccuracy(Crouching) Ra'!J6+Analysis!$B6</f>
        <v>27.362846871878059</v>
      </c>
      <c r="K6" s="189">
        <f>'Firing Inaccuracy(Crouching) Ra'!K6+Analysis!$B6</f>
        <v>30.9734898234117</v>
      </c>
      <c r="L6" s="189">
        <f>'Firing Inaccuracy(Crouching) Ra'!L6+Analysis!$B6</f>
        <v>34.561120981167321</v>
      </c>
      <c r="M6" s="189">
        <f>'Firing Inaccuracy(Crouching) Ra'!M6+Analysis!$B6</f>
        <v>35.820807067819743</v>
      </c>
      <c r="N6" s="189">
        <f>'Firing Inaccuracy(Crouching) Ra'!N6+Analysis!$B6</f>
        <v>36.263107005335719</v>
      </c>
      <c r="O6" s="189">
        <f>'Firing Inaccuracy(Crouching) Ra'!O6+Analysis!$B6</f>
        <v>36.418406993800723</v>
      </c>
      <c r="P6" s="189">
        <f>'Firing Inaccuracy(Crouching) Ra'!P6+Analysis!$B6</f>
        <v>36.472935797382924</v>
      </c>
      <c r="Q6" s="189">
        <f>'Firing Inaccuracy(Crouching) Ra'!Q6+Analysis!$B6</f>
        <v>36.492081905824371</v>
      </c>
      <c r="R6" s="189">
        <f>'Firing Inaccuracy(Crouching) Ra'!R6+Analysis!$B6</f>
        <v>36.498804471594568</v>
      </c>
      <c r="S6" s="189">
        <f>'Firing Inaccuracy(Crouching) Ra'!S6+Analysis!$B6</f>
        <v>36.501164893331065</v>
      </c>
      <c r="T6" s="189">
        <f>'Firing Inaccuracy(Crouching) Ra'!T6+Analysis!$B6</f>
        <v>36.501993682660114</v>
      </c>
      <c r="U6" s="189">
        <f>'Firing Inaccuracy(Crouching) Ra'!U6+Analysis!$B6</f>
        <v>36.502284686484273</v>
      </c>
      <c r="V6" s="189">
        <f>'Firing Inaccuracy(Crouching) Ra'!V6+Analysis!$B6</f>
        <v>36.502386863506473</v>
      </c>
      <c r="W6" s="189">
        <f>'Firing Inaccuracy(Crouching) Ra'!W6+Analysis!$B6</f>
        <v>36.502422739818051</v>
      </c>
      <c r="X6" s="189">
        <f>'Firing Inaccuracy(Crouching) Ra'!X6+Analysis!$B6</f>
        <v>36.502435336678914</v>
      </c>
      <c r="Y6" s="189">
        <f>'Firing Inaccuracy(Crouching) Ra'!Y6+Analysis!$B6</f>
        <v>36.502439759678289</v>
      </c>
      <c r="Z6" s="189">
        <f>'Firing Inaccuracy(Crouching) Ra'!Z6+Analysis!$B6</f>
        <v>36.502441312678179</v>
      </c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spans="1:36" ht="15.75" customHeight="1" x14ac:dyDescent="0.15">
      <c r="A7" s="35" t="s">
        <v>148</v>
      </c>
      <c r="B7" s="83">
        <f>'Raw Values'!F7</f>
        <v>0.17</v>
      </c>
      <c r="C7" s="15">
        <f>'Raw Values'!V7</f>
        <v>50</v>
      </c>
      <c r="D7" s="22">
        <f>'Raw Values'!AC7</f>
        <v>0.29127700000000001</v>
      </c>
      <c r="E7" s="33" t="str">
        <f>'Firing Inaccuracy(Crouching) Ra'!E7</f>
        <v>N/A</v>
      </c>
      <c r="F7" s="176"/>
      <c r="G7" s="189">
        <f>'Firing Inaccuracy(Crouching) Ra'!G7+Analysis!$B7</f>
        <v>5.68</v>
      </c>
      <c r="H7" s="189">
        <f>'Firing Inaccuracy(Crouching) Ra'!H7+Analysis!$B7</f>
        <v>18.721667470558891</v>
      </c>
      <c r="I7" s="189">
        <f>'Firing Inaccuracy(Crouching) Ra'!I7+Analysis!$B7</f>
        <v>22.123369278811573</v>
      </c>
      <c r="J7" s="189">
        <f>'Firing Inaccuracy(Crouching) Ra'!J7+Analysis!$B7</f>
        <v>23.010646555156178</v>
      </c>
      <c r="K7" s="189">
        <f>'Firing Inaccuracy(Crouching) Ra'!K7+Analysis!$B7</f>
        <v>23.242078059001571</v>
      </c>
      <c r="L7" s="189">
        <f>'Firing Inaccuracy(Crouching) Ra'!L7+Analysis!$B7</f>
        <v>23.302443113308833</v>
      </c>
      <c r="M7" s="189">
        <f>'Firing Inaccuracy(Crouching) Ra'!M7+Analysis!$B7</f>
        <v>23.318188332611182</v>
      </c>
      <c r="N7" s="189">
        <f>'Firing Inaccuracy(Crouching) Ra'!N7+Analysis!$B7</f>
        <v>23.322295210899025</v>
      </c>
      <c r="O7" s="189">
        <f>'Firing Inaccuracy(Crouching) Ra'!O7+Analysis!$B7</f>
        <v>23.323366421718468</v>
      </c>
      <c r="P7" s="189">
        <f>'Firing Inaccuracy(Crouching) Ra'!P7+Analysis!$B7</f>
        <v>23.323645829224429</v>
      </c>
      <c r="Q7" s="189">
        <f>'Firing Inaccuracy(Crouching) Ra'!Q7+Analysis!$B7</f>
        <v>23.32371870802006</v>
      </c>
      <c r="R7" s="189">
        <f>'Firing Inaccuracy(Crouching) Ra'!R7+Analysis!$B7</f>
        <v>23.323737717240427</v>
      </c>
      <c r="S7" s="189">
        <f>'Firing Inaccuracy(Crouching) Ra'!S7+Analysis!$B7</f>
        <v>23.323742675479043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</row>
    <row r="8" spans="1:36" ht="15.75" customHeight="1" x14ac:dyDescent="0.15">
      <c r="A8" s="35" t="s">
        <v>149</v>
      </c>
      <c r="B8" s="83">
        <f>'Raw Values'!F8</f>
        <v>0.17</v>
      </c>
      <c r="C8" s="15">
        <f>'Raw Values'!AM8</f>
        <v>52</v>
      </c>
      <c r="D8" s="22">
        <f>'Raw Values'!AC8</f>
        <v>0.29127700000000001</v>
      </c>
      <c r="E8" s="33" t="str">
        <f>'Firing Inaccuracy(Crouching) Ra'!E8</f>
        <v>N/A</v>
      </c>
      <c r="F8" s="176"/>
      <c r="G8" s="189">
        <f>'Firing Inaccuracy(Crouching) Ra'!G8+Analysis!$B8</f>
        <v>5.18</v>
      </c>
      <c r="H8" s="189">
        <f>'Firing Inaccuracy(Crouching) Ra'!H8+Analysis!$B8</f>
        <v>18.743334169381249</v>
      </c>
      <c r="I8" s="189">
        <f>'Firing Inaccuracy(Crouching) Ra'!I8+Analysis!$B8</f>
        <v>22.281104049964036</v>
      </c>
      <c r="J8" s="189">
        <f>'Firing Inaccuracy(Crouching) Ra'!J8+Analysis!$B8</f>
        <v>23.203872417362426</v>
      </c>
      <c r="K8" s="189">
        <f>'Firing Inaccuracy(Crouching) Ra'!K8+Analysis!$B8</f>
        <v>23.444561181361632</v>
      </c>
      <c r="L8" s="189">
        <f>'Firing Inaccuracy(Crouching) Ra'!L8+Analysis!$B8</f>
        <v>23.507340837841181</v>
      </c>
      <c r="M8" s="189">
        <f>'Firing Inaccuracy(Crouching) Ra'!M8+Analysis!$B8</f>
        <v>23.523715865915626</v>
      </c>
      <c r="N8" s="189">
        <f>'Firing Inaccuracy(Crouching) Ra'!N8+Analysis!$B8</f>
        <v>23.527987019334986</v>
      </c>
      <c r="O8" s="189">
        <f>'Firing Inaccuracy(Crouching) Ra'!O8+Analysis!$B8</f>
        <v>23.52910107858721</v>
      </c>
      <c r="P8" s="189">
        <f>'Firing Inaccuracy(Crouching) Ra'!P8+Analysis!$B8</f>
        <v>23.529391662393408</v>
      </c>
      <c r="Q8" s="189">
        <f>'Firing Inaccuracy(Crouching) Ra'!Q8+Analysis!$B8</f>
        <v>23.529467456340861</v>
      </c>
      <c r="R8" s="189">
        <f>'Firing Inaccuracy(Crouching) Ra'!R8+Analysis!$B8</f>
        <v>23.52948722593004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</row>
    <row r="9" spans="1:36" ht="15.75" customHeight="1" x14ac:dyDescent="0.15">
      <c r="A9" s="9" t="s">
        <v>150</v>
      </c>
      <c r="B9" s="83">
        <f>'Raw Values'!F9</f>
        <v>0.15</v>
      </c>
      <c r="C9" s="15">
        <f>'Raw Values'!V9</f>
        <v>52.45</v>
      </c>
      <c r="D9" s="22">
        <f>'Raw Values'!AC9</f>
        <v>0.287823</v>
      </c>
      <c r="E9" s="33" t="str">
        <f>'Firing Inaccuracy(Crouching) Ra'!E9</f>
        <v>N/A</v>
      </c>
      <c r="F9" s="176"/>
      <c r="G9" s="189">
        <f>'Firing Inaccuracy(Crouching) Ra'!G9+Analysis!$B9</f>
        <v>8.83</v>
      </c>
      <c r="H9" s="189">
        <f>'Firing Inaccuracy(Crouching) Ra'!H9+Analysis!$B9</f>
        <v>24.627627416182513</v>
      </c>
      <c r="I9" s="189">
        <f>'Firing Inaccuracy(Crouching) Ra'!I9+Analysis!$B9</f>
        <v>29.385778645553756</v>
      </c>
      <c r="J9" s="189">
        <f>'Firing Inaccuracy(Crouching) Ra'!J9+Analysis!$B9</f>
        <v>30.818905438908523</v>
      </c>
      <c r="K9" s="189">
        <f>'Firing Inaccuracy(Crouching) Ra'!K9+Analysis!$B9</f>
        <v>31.250554688128098</v>
      </c>
      <c r="L9" s="189">
        <f>'Firing Inaccuracy(Crouching) Ra'!L9+Analysis!$B9</f>
        <v>31.380564869513151</v>
      </c>
      <c r="M9" s="189">
        <f>'Firing Inaccuracy(Crouching) Ra'!M9+Analysis!$B9</f>
        <v>31.419723161330715</v>
      </c>
      <c r="N9" s="189">
        <f>'Firing Inaccuracy(Crouching) Ra'!N9+Analysis!$B9</f>
        <v>31.431517405456326</v>
      </c>
      <c r="O9" s="189">
        <f>'Firing Inaccuracy(Crouching) Ra'!O9+Analysis!$B9</f>
        <v>31.435069761497346</v>
      </c>
      <c r="P9" s="189">
        <f>'Firing Inaccuracy(Crouching) Ra'!P9+Analysis!$B9</f>
        <v>31.436139709966092</v>
      </c>
      <c r="Q9" s="189">
        <f>'Firing Inaccuracy(Crouching) Ra'!Q9+Analysis!$B9</f>
        <v>31.436461972068358</v>
      </c>
      <c r="R9" s="189">
        <f>'Firing Inaccuracy(Crouching) Ra'!R9+Analysis!$B9</f>
        <v>31.436559035492991</v>
      </c>
      <c r="S9" s="189">
        <f>'Firing Inaccuracy(Crouching) Ra'!S9+Analysis!$B9</f>
        <v>31.436588270418028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</row>
    <row r="10" spans="1:36" ht="15.75" customHeight="1" x14ac:dyDescent="0.15">
      <c r="A10" s="9" t="s">
        <v>151</v>
      </c>
      <c r="B10" s="83">
        <f>'Raw Values'!F10</f>
        <v>0.1</v>
      </c>
      <c r="C10" s="15">
        <f>'Raw Values'!V10</f>
        <v>35</v>
      </c>
      <c r="D10" s="22">
        <f>'Raw Values'!AC10</f>
        <v>0.22750000000000001</v>
      </c>
      <c r="E10" s="33">
        <f>'Firing Inaccuracy(Crouching) Ra'!E10</f>
        <v>0.287823</v>
      </c>
      <c r="F10" s="176"/>
      <c r="G10" s="189">
        <f>'Firing Inaccuracy(Crouching) Ra'!G10+Analysis!$B10</f>
        <v>10.6</v>
      </c>
      <c r="H10" s="189">
        <f>'Firing Inaccuracy(Crouching) Ra'!H10+Analysis!$B10</f>
        <v>23.320600245212454</v>
      </c>
      <c r="I10" s="189">
        <f>'Firing Inaccuracy(Crouching) Ra'!I10+Analysis!$B10</f>
        <v>27.943847976598143</v>
      </c>
      <c r="J10" s="189">
        <f>'Firing Inaccuracy(Crouching) Ra'!J10+Analysis!$B10</f>
        <v>29.624147583042223</v>
      </c>
      <c r="K10" s="189">
        <f>'Firing Inaccuracy(Crouching) Ra'!K10+Analysis!$B10</f>
        <v>30.973709027283654</v>
      </c>
      <c r="L10" s="189">
        <f>'Firing Inaccuracy(Crouching) Ra'!L10+Analysis!$B10</f>
        <v>32.212182526663462</v>
      </c>
      <c r="M10" s="189">
        <f>'Firing Inaccuracy(Crouching) Ra'!M10+Analysis!$B10</f>
        <v>33.414095368439732</v>
      </c>
      <c r="N10" s="189">
        <f>'Firing Inaccuracy(Crouching) Ra'!N10+Analysis!$B10</f>
        <v>34.605516397048248</v>
      </c>
      <c r="O10" s="189">
        <f>'Firing Inaccuracy(Crouching) Ra'!O10+Analysis!$B10</f>
        <v>35.795726280988852</v>
      </c>
      <c r="P10" s="189">
        <f>'Firing Inaccuracy(Crouching) Ra'!P10+Analysis!$B10</f>
        <v>36.987997448350036</v>
      </c>
      <c r="Q10" s="189">
        <f>'Firing Inaccuracy(Crouching) Ra'!Q10+Analysis!$B10</f>
        <v>38.183394828033812</v>
      </c>
      <c r="R10" s="189">
        <f>'Firing Inaccuracy(Crouching) Ra'!R10+Analysis!$B10</f>
        <v>38.720521290384319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6" ht="15.75" customHeight="1" x14ac:dyDescent="0.15">
      <c r="A11" s="36" t="s">
        <v>152</v>
      </c>
      <c r="B11" s="83">
        <f>'Raw Values'!F11</f>
        <v>0.12</v>
      </c>
      <c r="C11" s="15">
        <f>'Raw Values'!V11</f>
        <v>45</v>
      </c>
      <c r="D11" s="22">
        <f>'Raw Values'!AC11</f>
        <v>0.315</v>
      </c>
      <c r="E11" s="33">
        <f>'Firing Inaccuracy(Crouching) Ra'!E11</f>
        <v>0.315</v>
      </c>
      <c r="F11" s="176"/>
      <c r="G11" s="189">
        <f>'Firing Inaccuracy(Crouching) Ra'!G11+Analysis!$B11</f>
        <v>5.68</v>
      </c>
      <c r="H11" s="189">
        <f>'Firing Inaccuracy(Crouching) Ra'!H11+Analysis!$B11</f>
        <v>24.398029733823311</v>
      </c>
      <c r="I11" s="189">
        <f>'Firing Inaccuracy(Crouching) Ra'!I11+Analysis!$B11</f>
        <v>32.183910558629833</v>
      </c>
      <c r="J11" s="189">
        <f>'Firing Inaccuracy(Crouching) Ra'!J11+Analysis!$B11</f>
        <v>35.422496087135023</v>
      </c>
      <c r="K11" s="189">
        <f>'Firing Inaccuracy(Crouching) Ra'!K11+Analysis!$B11</f>
        <v>36.769605869759246</v>
      </c>
      <c r="L11" s="189">
        <f>'Firing Inaccuracy(Crouching) Ra'!L11+Analysis!$B11</f>
        <v>37.329944557890002</v>
      </c>
      <c r="M11" s="189">
        <f>'Firing Inaccuracy(Crouching) Ra'!M11+Analysis!$B11</f>
        <v>37.563020918455408</v>
      </c>
      <c r="N11" s="189">
        <f>'Firing Inaccuracy(Crouching) Ra'!N11+Analysis!$B11</f>
        <v>37.659970479506846</v>
      </c>
      <c r="O11" s="189">
        <f>'Firing Inaccuracy(Crouching) Ra'!O11+Analysis!$B11</f>
        <v>37.700297252094444</v>
      </c>
      <c r="P11" s="189">
        <f>'Firing Inaccuracy(Crouching) Ra'!P11+Analysis!$B11</f>
        <v>37.717071423835861</v>
      </c>
      <c r="Q11" s="189">
        <f>'Firing Inaccuracy(Crouching) Ra'!Q11+Analysis!$B11</f>
        <v>37.724048744845113</v>
      </c>
      <c r="R11" s="189">
        <f>'Firing Inaccuracy(Crouching) Ra'!R11+Analysis!$B11</f>
        <v>37.726951004892079</v>
      </c>
      <c r="S11" s="189">
        <f>'Firing Inaccuracy(Crouching) Ra'!S11+Analysis!$B11</f>
        <v>37.728158217999955</v>
      </c>
      <c r="T11" s="189">
        <f>'Firing Inaccuracy(Crouching) Ra'!T11+Analysis!$B11</f>
        <v>37.728660365796578</v>
      </c>
      <c r="U11" s="189">
        <f>'Firing Inaccuracy(Crouching) Ra'!U11+Analysis!$B11</f>
        <v>37.728869237294091</v>
      </c>
      <c r="V11" s="189">
        <f>'Firing Inaccuracy(Crouching) Ra'!V11+Analysis!$B11</f>
        <v>37.728956118691897</v>
      </c>
      <c r="W11" s="189">
        <f>'Firing Inaccuracy(Crouching) Ra'!W11+Analysis!$B11</f>
        <v>37.728992257549393</v>
      </c>
      <c r="X11" s="189">
        <f>'Firing Inaccuracy(Crouching) Ra'!X11+Analysis!$B11</f>
        <v>37.729007289731818</v>
      </c>
      <c r="Y11" s="189"/>
      <c r="Z11" s="189"/>
      <c r="AA11" s="189"/>
      <c r="AB11" s="189"/>
      <c r="AC11" s="189"/>
      <c r="AD11" s="189"/>
      <c r="AE11" s="114"/>
      <c r="AF11" s="114"/>
      <c r="AG11" s="114"/>
      <c r="AH11" s="114"/>
      <c r="AI11" s="114"/>
      <c r="AJ11" s="114"/>
    </row>
    <row r="12" spans="1:36" ht="15.75" customHeight="1" x14ac:dyDescent="0.15">
      <c r="A12" s="39"/>
      <c r="B12" s="101"/>
      <c r="C12" s="43"/>
      <c r="D12" s="192"/>
      <c r="E12" s="193"/>
      <c r="F12" s="194"/>
      <c r="G12" s="41"/>
      <c r="H12" s="41"/>
      <c r="I12" s="41"/>
      <c r="J12" s="41"/>
      <c r="K12" s="41"/>
      <c r="L12" s="41"/>
      <c r="M12" s="41"/>
      <c r="N12" s="4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spans="1:36" ht="15.75" customHeight="1" x14ac:dyDescent="0.15">
      <c r="A13" s="1" t="s">
        <v>53</v>
      </c>
      <c r="B13" s="69" t="s">
        <v>95</v>
      </c>
      <c r="C13" s="4" t="s">
        <v>234</v>
      </c>
      <c r="D13" s="7" t="s">
        <v>26</v>
      </c>
      <c r="E13" s="7" t="s">
        <v>237</v>
      </c>
      <c r="F13" s="174"/>
      <c r="G13" s="175">
        <v>1</v>
      </c>
      <c r="H13" s="175">
        <v>2</v>
      </c>
      <c r="I13" s="175">
        <v>3</v>
      </c>
      <c r="J13" s="175">
        <v>4</v>
      </c>
      <c r="K13" s="175">
        <v>5</v>
      </c>
      <c r="L13" s="175">
        <v>6</v>
      </c>
      <c r="M13" s="175">
        <v>7</v>
      </c>
      <c r="N13" s="175">
        <v>8</v>
      </c>
      <c r="O13" s="181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</row>
    <row r="14" spans="1:36" ht="15.75" customHeight="1" x14ac:dyDescent="0.15">
      <c r="A14" s="35" t="s">
        <v>153</v>
      </c>
      <c r="B14" s="83">
        <f>'Raw Values'!F14</f>
        <v>0.85</v>
      </c>
      <c r="C14" s="15">
        <f>'Raw Values'!V14</f>
        <v>11.19</v>
      </c>
      <c r="D14" s="22">
        <f>'Raw Values'!AC14</f>
        <v>0.28552100000000002</v>
      </c>
      <c r="E14" s="33" t="str">
        <f>'Firing Inaccuracy(Crouching) Ra'!E14</f>
        <v>N/A</v>
      </c>
      <c r="F14" s="176"/>
      <c r="G14" s="189">
        <f>'Firing Inaccuracy(Crouching) Ra'!G14+Analysis!$B14</f>
        <v>45.25</v>
      </c>
      <c r="H14" s="189">
        <f>'Firing Inaccuracy(Crouching) Ra'!H14+Analysis!$B14</f>
        <v>45.261798210395192</v>
      </c>
      <c r="I14" s="189">
        <f>'Firing Inaccuracy(Crouching) Ra'!I14+Analysis!$B14</f>
        <v>45.261810649874057</v>
      </c>
      <c r="J14" s="189">
        <f>'Firing Inaccuracy(Crouching) Ra'!J14+Analysis!$B14</f>
        <v>45.26181066298966</v>
      </c>
      <c r="K14" s="189">
        <f>'Firing Inaccuracy(Crouching) Ra'!K14+Analysis!$B14</f>
        <v>45.261810663003487</v>
      </c>
      <c r="L14" s="114"/>
      <c r="M14" s="114"/>
      <c r="N14" s="2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</row>
    <row r="15" spans="1:36" ht="15.75" customHeight="1" x14ac:dyDescent="0.15">
      <c r="A15" s="9" t="s">
        <v>155</v>
      </c>
      <c r="B15" s="83">
        <f>'Raw Values'!F15</f>
        <v>0.88</v>
      </c>
      <c r="C15" s="15">
        <f>'Raw Values'!V15</f>
        <v>9.7200000000000006</v>
      </c>
      <c r="D15" s="22">
        <f>'Raw Values'!AC15</f>
        <v>0.32894099999999998</v>
      </c>
      <c r="E15" s="33" t="str">
        <f>'Firing Inaccuracy(Crouching) Ra'!E15</f>
        <v>N/A</v>
      </c>
      <c r="F15" s="176"/>
      <c r="G15" s="189">
        <f>'Firing Inaccuracy(Crouching) Ra'!G15+Analysis!$B15</f>
        <v>45.25</v>
      </c>
      <c r="H15" s="189">
        <f>'Firing Inaccuracy(Crouching) Ra'!H15+Analysis!$B15</f>
        <v>45.270531206545463</v>
      </c>
      <c r="I15" s="189">
        <f>'Firing Inaccuracy(Crouching) Ra'!I15+Analysis!$B15</f>
        <v>45.27057457387491</v>
      </c>
      <c r="J15" s="189">
        <f>'Firing Inaccuracy(Crouching) Ra'!J15+Analysis!$B15</f>
        <v>45.270574665478158</v>
      </c>
      <c r="K15" s="189">
        <f>'Firing Inaccuracy(Crouching) Ra'!K15+Analysis!$B15</f>
        <v>45.270574665671653</v>
      </c>
      <c r="L15" s="189">
        <f>'Firing Inaccuracy(Crouching) Ra'!L15+Analysis!$B15</f>
        <v>45.270574665672058</v>
      </c>
      <c r="M15" s="189">
        <f>'Firing Inaccuracy(Crouching) Ra'!M15+Analysis!$B15</f>
        <v>45.270574665672058</v>
      </c>
      <c r="N15" s="189">
        <f>'Firing Inaccuracy(Crouching) Ra'!N15+Analysis!$B15</f>
        <v>45.270574665672058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</row>
    <row r="16" spans="1:36" ht="15.75" customHeight="1" x14ac:dyDescent="0.15">
      <c r="A16" s="36" t="s">
        <v>156</v>
      </c>
      <c r="B16" s="83">
        <f>'Raw Values'!F16</f>
        <v>0.85</v>
      </c>
      <c r="C16" s="15">
        <f>'Raw Values'!V16</f>
        <v>9.7200000000000006</v>
      </c>
      <c r="D16" s="22">
        <f>'Raw Values'!AC16</f>
        <v>0.32894099999999998</v>
      </c>
      <c r="E16" s="33" t="str">
        <f>'Firing Inaccuracy(Crouching) Ra'!E16</f>
        <v>N/A</v>
      </c>
      <c r="F16" s="176"/>
      <c r="G16" s="189">
        <f>'Firing Inaccuracy(Crouching) Ra'!G16+Analysis!$B16</f>
        <v>67.25</v>
      </c>
      <c r="H16" s="189">
        <f>'Firing Inaccuracy(Crouching) Ra'!H16+Analysis!$B16</f>
        <v>67.275328894654322</v>
      </c>
      <c r="I16" s="189">
        <f>'Firing Inaccuracy(Crouching) Ra'!I16+Analysis!$B16</f>
        <v>67.275394898039551</v>
      </c>
      <c r="J16" s="189">
        <f>'Firing Inaccuracy(Crouching) Ra'!J16+Analysis!$B16</f>
        <v>67.275395070034691</v>
      </c>
      <c r="K16" s="189">
        <f>'Firing Inaccuracy(Crouching) Ra'!K16+Analysis!$B16</f>
        <v>67.275395070482887</v>
      </c>
      <c r="L16" s="189">
        <f>'Firing Inaccuracy(Crouching) Ra'!L16+Analysis!$B16</f>
        <v>67.275395070484052</v>
      </c>
      <c r="M16" s="189">
        <f>'Firing Inaccuracy(Crouching) Ra'!M16+Analysis!$B16</f>
        <v>67.275395070484052</v>
      </c>
      <c r="N16" s="2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</row>
    <row r="17" spans="1:36" ht="15.75" customHeight="1" x14ac:dyDescent="0.15">
      <c r="A17" s="9" t="s">
        <v>157</v>
      </c>
      <c r="B17" s="83">
        <f>'Raw Values'!F17</f>
        <v>0.35</v>
      </c>
      <c r="C17" s="15">
        <f>'Raw Values'!V17</f>
        <v>8.83</v>
      </c>
      <c r="D17" s="22">
        <f>'Raw Values'!AC17</f>
        <v>0.36183500000000002</v>
      </c>
      <c r="E17" s="33" t="str">
        <f>'Firing Inaccuracy(Crouching) Ra'!E17</f>
        <v>N/A</v>
      </c>
      <c r="F17" s="176"/>
      <c r="G17" s="189">
        <f>'Firing Inaccuracy(Crouching) Ra'!G17+Analysis!$B17</f>
        <v>43.25</v>
      </c>
      <c r="H17" s="189">
        <f>'Firing Inaccuracy(Crouching) Ra'!H17+Analysis!$B17</f>
        <v>44.202070222695959</v>
      </c>
      <c r="I17" s="189">
        <f>'Firing Inaccuracy(Crouching) Ra'!I17+Analysis!$B17</f>
        <v>44.304724549869718</v>
      </c>
      <c r="J17" s="189">
        <f>'Firing Inaccuracy(Crouching) Ra'!J17+Analysis!$B17</f>
        <v>44.315792967551829</v>
      </c>
      <c r="K17" s="189">
        <f>'Firing Inaccuracy(Crouching) Ra'!K17+Analysis!$B17</f>
        <v>44.316986388943391</v>
      </c>
      <c r="L17" s="189">
        <f>'Firing Inaccuracy(Crouching) Ra'!L17+Analysis!$B17</f>
        <v>44.317115066289944</v>
      </c>
      <c r="M17" s="189">
        <f>'Firing Inaccuracy(Crouching) Ra'!M17+Analysis!$B17</f>
        <v>44.317128940567407</v>
      </c>
      <c r="N17" s="2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</row>
    <row r="18" spans="1:36" ht="15.75" customHeight="1" x14ac:dyDescent="0.15">
      <c r="A18" s="39"/>
      <c r="B18" s="101"/>
      <c r="C18" s="43"/>
      <c r="D18" s="192"/>
      <c r="E18" s="193"/>
      <c r="F18" s="194"/>
      <c r="G18" s="41"/>
      <c r="H18" s="41"/>
      <c r="I18" s="41"/>
      <c r="J18" s="41"/>
      <c r="K18" s="41"/>
      <c r="L18" s="41"/>
      <c r="M18" s="41"/>
      <c r="N18" s="41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</row>
    <row r="19" spans="1:36" ht="15.75" customHeight="1" x14ac:dyDescent="0.15">
      <c r="A19" s="1" t="s">
        <v>59</v>
      </c>
      <c r="B19" s="69" t="s">
        <v>95</v>
      </c>
      <c r="C19" s="4" t="s">
        <v>234</v>
      </c>
      <c r="D19" s="7" t="s">
        <v>26</v>
      </c>
      <c r="E19" s="7" t="s">
        <v>237</v>
      </c>
      <c r="F19" s="174"/>
      <c r="G19" s="195">
        <v>1</v>
      </c>
      <c r="H19" s="195">
        <v>2</v>
      </c>
      <c r="I19" s="195">
        <v>3</v>
      </c>
      <c r="J19" s="195">
        <v>4</v>
      </c>
      <c r="K19" s="195">
        <v>5</v>
      </c>
      <c r="L19" s="195">
        <v>6</v>
      </c>
      <c r="M19" s="195">
        <v>7</v>
      </c>
      <c r="N19" s="195">
        <v>8</v>
      </c>
      <c r="O19" s="195">
        <v>9</v>
      </c>
      <c r="P19" s="195">
        <v>10</v>
      </c>
      <c r="Q19" s="195">
        <v>11</v>
      </c>
      <c r="R19" s="195">
        <v>12</v>
      </c>
      <c r="S19" s="195">
        <v>13</v>
      </c>
      <c r="T19" s="195">
        <v>14</v>
      </c>
      <c r="U19" s="195">
        <v>15</v>
      </c>
      <c r="V19" s="195">
        <v>16</v>
      </c>
      <c r="W19" s="195">
        <v>17</v>
      </c>
      <c r="X19" s="195">
        <v>18</v>
      </c>
      <c r="Y19" s="195">
        <v>19</v>
      </c>
      <c r="Z19" s="195">
        <v>20</v>
      </c>
      <c r="AA19" s="195">
        <v>21</v>
      </c>
      <c r="AB19" s="195">
        <v>22</v>
      </c>
      <c r="AC19" s="195">
        <v>23</v>
      </c>
      <c r="AD19" s="195">
        <v>24</v>
      </c>
      <c r="AE19" s="195">
        <v>25</v>
      </c>
      <c r="AF19" s="195">
        <v>26</v>
      </c>
      <c r="AG19" s="195">
        <v>27</v>
      </c>
      <c r="AH19" s="195">
        <v>28</v>
      </c>
      <c r="AI19" s="195">
        <v>29</v>
      </c>
      <c r="AJ19" s="195">
        <v>30</v>
      </c>
    </row>
    <row r="20" spans="1:36" ht="15.75" customHeight="1" x14ac:dyDescent="0.15">
      <c r="A20" s="9" t="s">
        <v>158</v>
      </c>
      <c r="B20" s="83">
        <f>'Raw Values'!F20</f>
        <v>0.08</v>
      </c>
      <c r="C20" s="15">
        <f>'Raw Values'!V20</f>
        <v>2.88</v>
      </c>
      <c r="D20" s="22">
        <f>'Raw Values'!AC20</f>
        <v>0.23683699999999999</v>
      </c>
      <c r="E20" s="33" t="str">
        <f>'Firing Inaccuracy(Crouching) Ra'!E20</f>
        <v>N/A</v>
      </c>
      <c r="F20" s="176"/>
      <c r="G20" s="189">
        <f>'Firing Inaccuracy(Crouching) Ra'!G20+Analysis!$B20</f>
        <v>11.5</v>
      </c>
      <c r="H20" s="189">
        <f>'Firing Inaccuracy(Crouching) Ra'!H20+Analysis!$B20</f>
        <v>12.823144966014368</v>
      </c>
      <c r="I20" s="189">
        <f>'Firing Inaccuracy(Crouching) Ra'!I20+Analysis!$B20</f>
        <v>13.431031285836996</v>
      </c>
      <c r="J20" s="189">
        <f>'Firing Inaccuracy(Crouching) Ra'!J20+Analysis!$B20</f>
        <v>13.710309662219741</v>
      </c>
      <c r="K20" s="189">
        <f>'Firing Inaccuracy(Crouching) Ra'!K20+Analysis!$B20</f>
        <v>13.8386172239654</v>
      </c>
      <c r="L20" s="189">
        <f>'Firing Inaccuracy(Crouching) Ra'!L20+Analysis!$B20</f>
        <v>13.897564968557534</v>
      </c>
      <c r="M20" s="189">
        <f>'Firing Inaccuracy(Crouching) Ra'!M20+Analysis!$B20</f>
        <v>13.924647055889125</v>
      </c>
      <c r="N20" s="189">
        <f>'Firing Inaccuracy(Crouching) Ra'!N20+Analysis!$B20</f>
        <v>13.937089252945359</v>
      </c>
      <c r="O20" s="189">
        <f>'Firing Inaccuracy(Crouching) Ra'!O20+Analysis!$B20</f>
        <v>13.942805513501304</v>
      </c>
      <c r="P20" s="189">
        <f>'Firing Inaccuracy(Crouching) Ra'!P20+Analysis!$B20</f>
        <v>13.945431708424575</v>
      </c>
      <c r="Q20" s="189">
        <f>'Firing Inaccuracy(Crouching) Ra'!Q20+Analysis!$B20</f>
        <v>13.946638248908082</v>
      </c>
      <c r="R20" s="189">
        <f>'Firing Inaccuracy(Crouching) Ra'!R20+Analysis!$B20</f>
        <v>13.947192564174415</v>
      </c>
      <c r="S20" s="189">
        <f>'Firing Inaccuracy(Crouching) Ra'!S20+Analysis!$B20</f>
        <v>13.947447230651582</v>
      </c>
      <c r="T20" s="189">
        <f>'Firing Inaccuracy(Crouching) Ra'!T20+Analysis!$B20</f>
        <v>13.947564230883273</v>
      </c>
      <c r="U20" s="189">
        <f>'Firing Inaccuracy(Crouching) Ra'!U20+Analysis!$B20</f>
        <v>13.947617983753965</v>
      </c>
      <c r="V20" s="189">
        <f>'Firing Inaccuracy(Crouching) Ra'!V20+Analysis!$B20</f>
        <v>13.947642679184611</v>
      </c>
      <c r="W20" s="189">
        <f>'Firing Inaccuracy(Crouching) Ra'!W20+Analysis!$B20</f>
        <v>13.947654024891118</v>
      </c>
      <c r="X20" s="189">
        <f>'Firing Inaccuracy(Crouching) Ra'!X20+Analysis!$B20</f>
        <v>13.947659237396136</v>
      </c>
      <c r="Y20" s="189">
        <f>'Firing Inaccuracy(Crouching) Ra'!Y20+Analysis!$B20</f>
        <v>13.947661632153002</v>
      </c>
      <c r="Z20" s="189">
        <f>'Firing Inaccuracy(Crouching) Ra'!Z20+Analysis!$B20</f>
        <v>13.947662732364979</v>
      </c>
      <c r="AA20" s="189">
        <f>'Firing Inaccuracy(Crouching) Ra'!AA20+Analysis!$B20</f>
        <v>13.947663237830236</v>
      </c>
      <c r="AB20" s="189">
        <f>'Firing Inaccuracy(Crouching) Ra'!AB20+Analysis!$B20</f>
        <v>13.947663470053779</v>
      </c>
      <c r="AC20" s="189">
        <f>'Firing Inaccuracy(Crouching) Ra'!AC20+Analysis!$B20</f>
        <v>13.94766357674316</v>
      </c>
      <c r="AD20" s="189">
        <f>'Firing Inaccuracy(Crouching) Ra'!AD20+Analysis!$B20</f>
        <v>13.947663625758965</v>
      </c>
      <c r="AE20" s="189">
        <f>'Firing Inaccuracy(Crouching) Ra'!AE20+Analysis!$B20</f>
        <v>13.947663648278066</v>
      </c>
      <c r="AF20" s="189">
        <f>'Firing Inaccuracy(Crouching) Ra'!AF20+Analysis!$B20</f>
        <v>13.947663658623913</v>
      </c>
      <c r="AG20" s="189">
        <f>'Firing Inaccuracy(Crouching) Ra'!AG20+Analysis!$B20</f>
        <v>13.947663663377057</v>
      </c>
      <c r="AH20" s="189">
        <f>'Firing Inaccuracy(Crouching) Ra'!AH20+Analysis!$B20</f>
        <v>13.947663665560771</v>
      </c>
      <c r="AI20" s="189">
        <f>'Firing Inaccuracy(Crouching) Ra'!AI20+Analysis!$B20</f>
        <v>13.947663666564026</v>
      </c>
      <c r="AJ20" s="189">
        <f>'Firing Inaccuracy(Crouching) Ra'!AJ20+Analysis!$B20</f>
        <v>13.947663667024946</v>
      </c>
    </row>
    <row r="21" spans="1:36" ht="15.75" customHeight="1" x14ac:dyDescent="0.15">
      <c r="A21" s="36" t="s">
        <v>160</v>
      </c>
      <c r="B21" s="83">
        <f>'Raw Values'!F21</f>
        <v>7.4999999999999997E-2</v>
      </c>
      <c r="C21" s="15">
        <f>'Raw Values'!V21</f>
        <v>4.76</v>
      </c>
      <c r="D21" s="22">
        <f>'Raw Values'!AC21</f>
        <v>0.28552100000000002</v>
      </c>
      <c r="E21" s="33" t="str">
        <f>'Firing Inaccuracy(Crouching) Ra'!E21</f>
        <v>N/A</v>
      </c>
      <c r="F21" s="176"/>
      <c r="G21" s="189">
        <f>'Firing Inaccuracy(Crouching) Ra'!G21+Analysis!$B21</f>
        <v>10.58</v>
      </c>
      <c r="H21" s="189">
        <f>'Firing Inaccuracy(Crouching) Ra'!H21+Analysis!$B21</f>
        <v>13.179736018659515</v>
      </c>
      <c r="I21" s="189">
        <f>'Firing Inaccuracy(Crouching) Ra'!I21+Analysis!$B21</f>
        <v>14.599615717549355</v>
      </c>
      <c r="J21" s="189">
        <f>'Firing Inaccuracy(Crouching) Ra'!J21+Analysis!$B21</f>
        <v>15.375101514895434</v>
      </c>
      <c r="K21" s="189">
        <f>'Firing Inaccuracy(Crouching) Ra'!K21+Analysis!$B21</f>
        <v>15.798643187021378</v>
      </c>
      <c r="L21" s="189">
        <f>'Firing Inaccuracy(Crouching) Ra'!L21+Analysis!$B21</f>
        <v>16.029965989632533</v>
      </c>
      <c r="M21" s="189">
        <f>'Firing Inaccuracy(Crouching) Ra'!M21+Analysis!$B21</f>
        <v>16.156305952213518</v>
      </c>
      <c r="N21" s="189">
        <f>'Firing Inaccuracy(Crouching) Ra'!N21+Analysis!$B21</f>
        <v>16.225308168876939</v>
      </c>
      <c r="O21" s="189">
        <f>'Firing Inaccuracy(Crouching) Ra'!O21+Analysis!$B21</f>
        <v>16.262994628546526</v>
      </c>
      <c r="P21" s="189">
        <f>'Firing Inaccuracy(Crouching) Ra'!P21+Analysis!$B21</f>
        <v>16.283577579516859</v>
      </c>
      <c r="Q21" s="189">
        <f>'Firing Inaccuracy(Crouching) Ra'!Q21+Analysis!$B21</f>
        <v>16.294819226367252</v>
      </c>
      <c r="R21" s="189">
        <f>'Firing Inaccuracy(Crouching) Ra'!R21+Analysis!$B21</f>
        <v>16.300958998263479</v>
      </c>
      <c r="S21" s="189">
        <f>'Firing Inaccuracy(Crouching) Ra'!S21+Analysis!$B21</f>
        <v>16.304312314680487</v>
      </c>
      <c r="T21" s="189">
        <f>'Firing Inaccuracy(Crouching) Ra'!T21+Analysis!$B21</f>
        <v>16.306143772132433</v>
      </c>
      <c r="U21" s="189">
        <f>'Firing Inaccuracy(Crouching) Ra'!U21+Analysis!$B21</f>
        <v>16.307144046482112</v>
      </c>
      <c r="V21" s="189">
        <f>'Firing Inaccuracy(Crouching) Ra'!V21+Analysis!$B21</f>
        <v>16.307690359350893</v>
      </c>
      <c r="W21" s="189">
        <f>'Firing Inaccuracy(Crouching) Ra'!W21+Analysis!$B21</f>
        <v>16.307988735242159</v>
      </c>
      <c r="X21" s="189">
        <f>'Firing Inaccuracy(Crouching) Ra'!X21+Analysis!$B21</f>
        <v>16.308151697122753</v>
      </c>
      <c r="Y21" s="189">
        <f>'Firing Inaccuracy(Crouching) Ra'!Y21+Analysis!$B21</f>
        <v>16.308240700877089</v>
      </c>
      <c r="Z21" s="189">
        <f>'Firing Inaccuracy(Crouching) Ra'!Z21+Analysis!$B21</f>
        <v>16.308289311437164</v>
      </c>
      <c r="AA21" s="189">
        <f>'Firing Inaccuracy(Crouching) Ra'!AA21+Analysis!$B21</f>
        <v>16.308315860727902</v>
      </c>
      <c r="AB21" s="189">
        <f>'Firing Inaccuracy(Crouching) Ra'!AB21+Analysis!$B21</f>
        <v>16.308330360968949</v>
      </c>
      <c r="AC21" s="189">
        <f>'Firing Inaccuracy(Crouching) Ra'!AC21+Analysis!$B21</f>
        <v>16.308338280464525</v>
      </c>
      <c r="AD21" s="189">
        <f>'Firing Inaccuracy(Crouching) Ra'!AD21+Analysis!$B21</f>
        <v>16.308342605800217</v>
      </c>
      <c r="AE21" s="189">
        <f>'Firing Inaccuracy(Crouching) Ra'!AE21+Analysis!$B21</f>
        <v>16.308344968138663</v>
      </c>
      <c r="AF21" s="189">
        <f>'Firing Inaccuracy(Crouching) Ra'!AF21+Analysis!$B21</f>
        <v>16.308346258360579</v>
      </c>
      <c r="AG21" s="189">
        <f>'Firing Inaccuracy(Crouching) Ra'!AG21+Analysis!$B21</f>
        <v>16.308346963032093</v>
      </c>
      <c r="AH21" s="189">
        <f>'Firing Inaccuracy(Crouching) Ra'!AH21+Analysis!$B21</f>
        <v>16.308347347897623</v>
      </c>
      <c r="AI21" s="189">
        <f>'Firing Inaccuracy(Crouching) Ra'!AI21+Analysis!$B21</f>
        <v>16.308347558096944</v>
      </c>
      <c r="AJ21" s="189">
        <f>'Firing Inaccuracy(Crouching) Ra'!AJ21+Analysis!$B21</f>
        <v>16.308347672900041</v>
      </c>
    </row>
    <row r="22" spans="1:36" ht="15.75" customHeight="1" x14ac:dyDescent="0.15">
      <c r="A22" s="9" t="s">
        <v>161</v>
      </c>
      <c r="B22" s="83">
        <f>'Raw Values'!F22</f>
        <v>0.08</v>
      </c>
      <c r="C22" s="15">
        <f>'Raw Values'!V22</f>
        <v>2.1800000000000002</v>
      </c>
      <c r="D22" s="22">
        <f>'Raw Values'!AC22</f>
        <v>0.31249399999999999</v>
      </c>
      <c r="E22" s="33" t="str">
        <f>'Firing Inaccuracy(Crouching) Ra'!E22</f>
        <v>N/A</v>
      </c>
      <c r="F22" s="176"/>
      <c r="G22" s="189">
        <f>'Firing Inaccuracy(Crouching) Ra'!G22+Analysis!$B22</f>
        <v>6.52</v>
      </c>
      <c r="H22" s="189">
        <f>'Firing Inaccuracy(Crouching) Ra'!H22+Analysis!$B22</f>
        <v>7.7290703700531527</v>
      </c>
      <c r="I22" s="189">
        <f>'Firing Inaccuracy(Crouching) Ra'!I22+Analysis!$B22</f>
        <v>8.3996442965396056</v>
      </c>
      <c r="J22" s="189">
        <f>'Firing Inaccuracy(Crouching) Ra'!J22+Analysis!$B22</f>
        <v>8.7715576293125288</v>
      </c>
      <c r="K22" s="189">
        <f>'Firing Inaccuracy(Crouching) Ra'!K22+Analysis!$B22</f>
        <v>8.977827992103105</v>
      </c>
      <c r="L22" s="189">
        <f>'Firing Inaccuracy(Crouching) Ra'!L22+Analysis!$B22</f>
        <v>9.0922295443371439</v>
      </c>
      <c r="M22" s="189">
        <f>'Firing Inaccuracy(Crouching) Ra'!M22+Analysis!$B22</f>
        <v>9.1556788686923092</v>
      </c>
      <c r="N22" s="189">
        <f>'Firing Inaccuracy(Crouching) Ra'!N22+Analysis!$B22</f>
        <v>9.1908690971683296</v>
      </c>
      <c r="O22" s="189">
        <f>'Firing Inaccuracy(Crouching) Ra'!O22+Analysis!$B22</f>
        <v>9.2103862818315196</v>
      </c>
      <c r="P22" s="189">
        <f>'Firing Inaccuracy(Crouching) Ra'!P22+Analysis!$B22</f>
        <v>9.2212108917779059</v>
      </c>
      <c r="Q22" s="189">
        <f>'Firing Inaccuracy(Crouching) Ra'!Q22+Analysis!$B22</f>
        <v>9.2272144308391706</v>
      </c>
      <c r="R22" s="189">
        <f>'Firing Inaccuracy(Crouching) Ra'!R22+Analysis!$B22</f>
        <v>9.2305441102861572</v>
      </c>
      <c r="S22" s="189">
        <f>'Firing Inaccuracy(Crouching) Ra'!S22+Analysis!$B22</f>
        <v>9.2323908152224554</v>
      </c>
      <c r="T22" s="189">
        <f>'Firing Inaccuracy(Crouching) Ra'!T22+Analysis!$B22</f>
        <v>9.2334150336723209</v>
      </c>
      <c r="U22" s="189">
        <f>'Firing Inaccuracy(Crouching) Ra'!U22+Analysis!$B22</f>
        <v>9.2339830851311255</v>
      </c>
      <c r="V22" s="189">
        <f>'Firing Inaccuracy(Crouching) Ra'!V22+Analysis!$B22</f>
        <v>9.2342981375107147</v>
      </c>
      <c r="W22" s="189">
        <f>'Firing Inaccuracy(Crouching) Ra'!W22+Analysis!$B22</f>
        <v>9.2344728716837317</v>
      </c>
      <c r="X22" s="189">
        <f>'Firing Inaccuracy(Crouching) Ra'!X22+Analysis!$B22</f>
        <v>9.2345697826521871</v>
      </c>
      <c r="Y22" s="189">
        <f>'Firing Inaccuracy(Crouching) Ra'!Y22+Analysis!$B22</f>
        <v>9.2346235313588334</v>
      </c>
      <c r="Z22" s="189">
        <f>'Firing Inaccuracy(Crouching) Ra'!Z22+Analysis!$B22</f>
        <v>9.2346533414361893</v>
      </c>
      <c r="AA22" s="189">
        <f>'Firing Inaccuracy(Crouching) Ra'!AA22+Analysis!$B22</f>
        <v>9.2346698746844744</v>
      </c>
      <c r="AB22" s="189">
        <f>'Firing Inaccuracy(Crouching) Ra'!AB22+Analysis!$B22</f>
        <v>9.2346790443453095</v>
      </c>
      <c r="AC22" s="189">
        <f>'Firing Inaccuracy(Crouching) Ra'!AC22+Analysis!$B22</f>
        <v>9.2346841300174294</v>
      </c>
      <c r="AD22" s="189">
        <f>'Firing Inaccuracy(Crouching) Ra'!AD22+Analysis!$B22</f>
        <v>9.2346869506300298</v>
      </c>
      <c r="AE22" s="189">
        <f>'Firing Inaccuracy(Crouching) Ra'!AE22+Analysis!$B22</f>
        <v>9.2346885149966003</v>
      </c>
      <c r="AF22" s="189">
        <f>'Firing Inaccuracy(Crouching) Ra'!AF22+Analysis!$B22</f>
        <v>9.2346893826247047</v>
      </c>
      <c r="AG22" s="189">
        <f>'Firing Inaccuracy(Crouching) Ra'!AG22+Analysis!$B22</f>
        <v>9.2346898638281143</v>
      </c>
      <c r="AH22" s="189">
        <f>'Firing Inaccuracy(Crouching) Ra'!AH22+Analysis!$B22</f>
        <v>9.2346901307128775</v>
      </c>
      <c r="AI22" s="189">
        <f>'Firing Inaccuracy(Crouching) Ra'!AI22+Analysis!$B22</f>
        <v>9.234690278732355</v>
      </c>
      <c r="AJ22" s="189">
        <f>'Firing Inaccuracy(Crouching) Ra'!AJ22+Analysis!$B22</f>
        <v>9.2346903608268338</v>
      </c>
    </row>
    <row r="23" spans="1:36" ht="15.75" customHeight="1" x14ac:dyDescent="0.15">
      <c r="A23" s="53" t="s">
        <v>162</v>
      </c>
      <c r="B23" s="83">
        <f>'Raw Values'!F23</f>
        <v>0.08</v>
      </c>
      <c r="C23" s="15">
        <f>'Raw Values'!V23</f>
        <v>2.1800000000000002</v>
      </c>
      <c r="D23" s="22">
        <f>'Raw Values'!AC23</f>
        <v>0.31249399999999999</v>
      </c>
      <c r="E23" s="33" t="str">
        <f>'Firing Inaccuracy(Crouching) Ra'!E23</f>
        <v>N/A</v>
      </c>
      <c r="F23" s="176"/>
      <c r="G23" s="189">
        <f>'Firing Inaccuracy(Crouching) Ra'!G23+Analysis!$B23</f>
        <v>6.52</v>
      </c>
      <c r="H23" s="189">
        <f>'Firing Inaccuracy(Crouching) Ra'!H23+Analysis!$B23</f>
        <v>7.7290703700531527</v>
      </c>
      <c r="I23" s="189">
        <f>'Firing Inaccuracy(Crouching) Ra'!I23+Analysis!$B23</f>
        <v>8.3996442965396056</v>
      </c>
      <c r="J23" s="189">
        <f>'Firing Inaccuracy(Crouching) Ra'!J23+Analysis!$B23</f>
        <v>8.7715576293125288</v>
      </c>
      <c r="K23" s="189">
        <f>'Firing Inaccuracy(Crouching) Ra'!K23+Analysis!$B23</f>
        <v>8.977827992103105</v>
      </c>
      <c r="L23" s="189">
        <f>'Firing Inaccuracy(Crouching) Ra'!L23+Analysis!$B23</f>
        <v>9.0922295443371439</v>
      </c>
      <c r="M23" s="189">
        <f>'Firing Inaccuracy(Crouching) Ra'!M23+Analysis!$B23</f>
        <v>9.1556788686923092</v>
      </c>
      <c r="N23" s="189">
        <f>'Firing Inaccuracy(Crouching) Ra'!N23+Analysis!$B23</f>
        <v>9.1908690971683296</v>
      </c>
      <c r="O23" s="189">
        <f>'Firing Inaccuracy(Crouching) Ra'!O23+Analysis!$B23</f>
        <v>9.2103862818315196</v>
      </c>
      <c r="P23" s="189">
        <f>'Firing Inaccuracy(Crouching) Ra'!P23+Analysis!$B23</f>
        <v>9.2212108917779059</v>
      </c>
      <c r="Q23" s="189">
        <f>'Firing Inaccuracy(Crouching) Ra'!Q23+Analysis!$B23</f>
        <v>9.2272144308391706</v>
      </c>
      <c r="R23" s="189">
        <f>'Firing Inaccuracy(Crouching) Ra'!R23+Analysis!$B23</f>
        <v>9.2305441102861572</v>
      </c>
      <c r="S23" s="189">
        <f>'Firing Inaccuracy(Crouching) Ra'!S23+Analysis!$B23</f>
        <v>9.2323908152224554</v>
      </c>
      <c r="T23" s="189">
        <f>'Firing Inaccuracy(Crouching) Ra'!T23+Analysis!$B23</f>
        <v>9.2334150336723209</v>
      </c>
      <c r="U23" s="189">
        <f>'Firing Inaccuracy(Crouching) Ra'!U23+Analysis!$B23</f>
        <v>9.2339830851311255</v>
      </c>
      <c r="V23" s="189">
        <f>'Firing Inaccuracy(Crouching) Ra'!V23+Analysis!$B23</f>
        <v>9.2342981375107147</v>
      </c>
      <c r="W23" s="189">
        <f>'Firing Inaccuracy(Crouching) Ra'!W23+Analysis!$B23</f>
        <v>9.2344728716837317</v>
      </c>
      <c r="X23" s="189">
        <f>'Firing Inaccuracy(Crouching) Ra'!X23+Analysis!$B23</f>
        <v>9.2345697826521871</v>
      </c>
      <c r="Y23" s="189">
        <f>'Firing Inaccuracy(Crouching) Ra'!Y23+Analysis!$B23</f>
        <v>9.2346235313588334</v>
      </c>
      <c r="Z23" s="189">
        <f>'Firing Inaccuracy(Crouching) Ra'!Z23+Analysis!$B23</f>
        <v>9.2346533414361893</v>
      </c>
      <c r="AA23" s="189">
        <f>'Firing Inaccuracy(Crouching) Ra'!AA23+Analysis!$B23</f>
        <v>9.2346698746844744</v>
      </c>
      <c r="AB23" s="189">
        <f>'Firing Inaccuracy(Crouching) Ra'!AB23+Analysis!$B23</f>
        <v>9.2346790443453095</v>
      </c>
      <c r="AC23" s="189">
        <f>'Firing Inaccuracy(Crouching) Ra'!AC23+Analysis!$B23</f>
        <v>9.2346841300174294</v>
      </c>
      <c r="AD23" s="189">
        <f>'Firing Inaccuracy(Crouching) Ra'!AD23+Analysis!$B23</f>
        <v>9.2346869506300298</v>
      </c>
      <c r="AE23" s="189">
        <f>'Firing Inaccuracy(Crouching) Ra'!AE23+Analysis!$B23</f>
        <v>9.2346885149966003</v>
      </c>
      <c r="AF23" s="189">
        <f>'Firing Inaccuracy(Crouching) Ra'!AF23+Analysis!$B23</f>
        <v>9.2346893826247047</v>
      </c>
      <c r="AG23" s="189">
        <f>'Firing Inaccuracy(Crouching) Ra'!AG23+Analysis!$B23</f>
        <v>9.2346898638281143</v>
      </c>
      <c r="AH23" s="189">
        <f>'Firing Inaccuracy(Crouching) Ra'!AH23+Analysis!$B23</f>
        <v>9.2346901307128775</v>
      </c>
      <c r="AI23" s="189">
        <f>'Firing Inaccuracy(Crouching) Ra'!AI23+Analysis!$B23</f>
        <v>9.234690278732355</v>
      </c>
      <c r="AJ23" s="189">
        <f>'Firing Inaccuracy(Crouching) Ra'!AJ23+Analysis!$B23</f>
        <v>9.2346903608268338</v>
      </c>
    </row>
    <row r="24" spans="1:36" ht="15.75" customHeight="1" x14ac:dyDescent="0.15">
      <c r="A24" s="35" t="s">
        <v>163</v>
      </c>
      <c r="B24" s="83">
        <f>'Raw Values'!F24</f>
        <v>7.0000000000000007E-2</v>
      </c>
      <c r="C24" s="15">
        <f>'Raw Values'!V24</f>
        <v>3.7</v>
      </c>
      <c r="D24" s="22">
        <f>'Raw Values'!AC24</f>
        <v>0.18420700000000001</v>
      </c>
      <c r="E24" s="33" t="str">
        <f>'Firing Inaccuracy(Crouching) Ra'!E24</f>
        <v>N/A</v>
      </c>
      <c r="F24" s="176"/>
      <c r="G24" s="189">
        <f>'Firing Inaccuracy(Crouching) Ra'!G24+Analysis!$B24</f>
        <v>6.1</v>
      </c>
      <c r="H24" s="189">
        <f>'Firing Inaccuracy(Crouching) Ra'!H24+Analysis!$B24</f>
        <v>7.6423908836035777</v>
      </c>
      <c r="I24" s="189">
        <f>'Firing Inaccuracy(Crouching) Ra'!I24+Analysis!$B24</f>
        <v>8.2853556505828827</v>
      </c>
      <c r="J24" s="189">
        <f>'Firing Inaccuracy(Crouching) Ra'!J24+Analysis!$B24</f>
        <v>8.5533834870875243</v>
      </c>
      <c r="K24" s="189">
        <f>'Firing Inaccuracy(Crouching) Ra'!K24+Analysis!$B24</f>
        <v>8.6651142145407007</v>
      </c>
      <c r="L24" s="189">
        <f>'Firing Inaccuracy(Crouching) Ra'!L24+Analysis!$B24</f>
        <v>8.7116905538493974</v>
      </c>
      <c r="M24" s="189">
        <f>'Firing Inaccuracy(Crouching) Ra'!M24+Analysis!$B24</f>
        <v>8.7311064784821966</v>
      </c>
      <c r="N24" s="189">
        <f>'Firing Inaccuracy(Crouching) Ra'!N24+Analysis!$B24</f>
        <v>8.7392002474417545</v>
      </c>
      <c r="O24" s="189">
        <f>'Firing Inaccuracy(Crouching) Ra'!O24+Analysis!$B24</f>
        <v>8.7425742354031648</v>
      </c>
      <c r="P24" s="189">
        <f>'Firing Inaccuracy(Crouching) Ra'!P24+Analysis!$B24</f>
        <v>8.7439807241256151</v>
      </c>
      <c r="Q24" s="189">
        <f>'Firing Inaccuracy(Crouching) Ra'!Q24+Analysis!$B24</f>
        <v>8.7445670363913983</v>
      </c>
      <c r="R24" s="189">
        <f>'Firing Inaccuracy(Crouching) Ra'!R24+Analysis!$B24</f>
        <v>8.7448114479302319</v>
      </c>
      <c r="S24" s="189">
        <f>'Firing Inaccuracy(Crouching) Ra'!S24+Analysis!$B24</f>
        <v>8.7449133339111373</v>
      </c>
      <c r="T24" s="189">
        <f>'Firing Inaccuracy(Crouching) Ra'!T24+Analysis!$B24</f>
        <v>8.7449558063457626</v>
      </c>
      <c r="U24" s="189">
        <f>'Firing Inaccuracy(Crouching) Ra'!U24+Analysis!$B24</f>
        <v>8.7449735115068368</v>
      </c>
      <c r="V24" s="189">
        <f>'Firing Inaccuracy(Crouching) Ra'!V24+Analysis!$B24</f>
        <v>8.7449808921227898</v>
      </c>
      <c r="W24" s="189">
        <f>'Firing Inaccuracy(Crouching) Ra'!W24+Analysis!$B24</f>
        <v>8.7449839688240782</v>
      </c>
      <c r="X24" s="189">
        <f>'Firing Inaccuracy(Crouching) Ra'!X24+Analysis!$B24</f>
        <v>8.7449852513851631</v>
      </c>
      <c r="Y24" s="189">
        <f>'Firing Inaccuracy(Crouching) Ra'!Y24+Analysis!$B24</f>
        <v>8.7449857860366578</v>
      </c>
      <c r="Z24" s="189">
        <f>'Firing Inaccuracy(Crouching) Ra'!Z24+Analysis!$B24</f>
        <v>8.7449860089127629</v>
      </c>
      <c r="AA24" s="189">
        <f>'Firing Inaccuracy(Crouching) Ra'!AA24+Analysis!$B24</f>
        <v>8.7449861018214321</v>
      </c>
      <c r="AB24" s="189">
        <f>'Firing Inaccuracy(Crouching) Ra'!AB24+Analysis!$B24</f>
        <v>8.7449861405515623</v>
      </c>
      <c r="AC24" s="189">
        <f>'Firing Inaccuracy(Crouching) Ra'!AC24+Analysis!$B24</f>
        <v>8.7449861566966973</v>
      </c>
      <c r="AD24" s="189">
        <f>'Firing Inaccuracy(Crouching) Ra'!AD24+Analysis!$B24</f>
        <v>8.7449861634269972</v>
      </c>
      <c r="AE24" s="189">
        <f>'Firing Inaccuracy(Crouching) Ra'!AE24+Analysis!$B24</f>
        <v>8.7449861662326054</v>
      </c>
      <c r="AF24" s="189">
        <f>'Firing Inaccuracy(Crouching) Ra'!AF24+Analysis!$B24</f>
        <v>8.7449861674021587</v>
      </c>
      <c r="AG24" s="189">
        <f>'Firing Inaccuracy(Crouching) Ra'!AG24+Analysis!$B24</f>
        <v>8.7449861678897012</v>
      </c>
      <c r="AH24" s="189">
        <f>'Firing Inaccuracy(Crouching) Ra'!AH24+Analysis!$B24</f>
        <v>8.7449861680929395</v>
      </c>
      <c r="AI24" s="189">
        <f>'Firing Inaccuracy(Crouching) Ra'!AI24+Analysis!$B24</f>
        <v>8.7449861681776611</v>
      </c>
      <c r="AJ24" s="189">
        <f>'Firing Inaccuracy(Crouching) Ra'!AJ24+Analysis!$B24</f>
        <v>8.7449861682129786</v>
      </c>
    </row>
    <row r="25" spans="1:36" ht="15.75" customHeight="1" x14ac:dyDescent="0.15">
      <c r="A25" s="9" t="s">
        <v>164</v>
      </c>
      <c r="B25" s="83">
        <f>'Raw Values'!F25</f>
        <v>7.0000000000000007E-2</v>
      </c>
      <c r="C25" s="15">
        <f>'Raw Values'!V25</f>
        <v>2.85</v>
      </c>
      <c r="D25" s="22">
        <f>'Raw Values'!AC25</f>
        <v>0.26578400000000002</v>
      </c>
      <c r="E25" s="33" t="str">
        <f>'Firing Inaccuracy(Crouching) Ra'!E25</f>
        <v>N/A</v>
      </c>
      <c r="F25" s="176"/>
      <c r="G25" s="189">
        <f>'Firing Inaccuracy(Crouching) Ra'!G25+Analysis!$B25</f>
        <v>11.24</v>
      </c>
      <c r="H25" s="189">
        <f>'Firing Inaccuracy(Crouching) Ra'!H25+Analysis!$B25</f>
        <v>12.794079026995188</v>
      </c>
      <c r="I25" s="189">
        <f>'Firing Inaccuracy(Crouching) Ra'!I25+Analysis!$B25</f>
        <v>13.64150415757284</v>
      </c>
      <c r="J25" s="189">
        <f>'Firing Inaccuracy(Crouching) Ra'!J25+Analysis!$B25</f>
        <v>14.103597358407713</v>
      </c>
      <c r="K25" s="189">
        <f>'Firing Inaccuracy(Crouching) Ra'!K25+Analysis!$B25</f>
        <v>14.355572569612818</v>
      </c>
      <c r="L25" s="189">
        <f>'Firing Inaccuracy(Crouching) Ra'!L25+Analysis!$B25</f>
        <v>14.492972355948446</v>
      </c>
      <c r="M25" s="189">
        <f>'Firing Inaccuracy(Crouching) Ra'!M25+Analysis!$B25</f>
        <v>14.567895207266979</v>
      </c>
      <c r="N25" s="189">
        <f>'Firing Inaccuracy(Crouching) Ra'!N25+Analysis!$B25</f>
        <v>14.608749955293929</v>
      </c>
      <c r="O25" s="189">
        <f>'Firing Inaccuracy(Crouching) Ra'!O25+Analysis!$B25</f>
        <v>14.631027677070019</v>
      </c>
      <c r="P25" s="189">
        <f>'Firing Inaccuracy(Crouching) Ra'!P25+Analysis!$B25</f>
        <v>14.64317551573018</v>
      </c>
      <c r="Q25" s="189">
        <f>'Firing Inaccuracy(Crouching) Ra'!Q25+Analysis!$B25</f>
        <v>14.649799621444242</v>
      </c>
      <c r="R25" s="189">
        <f>'Firing Inaccuracy(Crouching) Ra'!R25+Analysis!$B25</f>
        <v>14.653411685922425</v>
      </c>
      <c r="S25" s="189">
        <f>'Firing Inaccuracy(Crouching) Ra'!S25+Analysis!$B25</f>
        <v>14.655381311764424</v>
      </c>
      <c r="T25" s="189">
        <f>'Firing Inaccuracy(Crouching) Ra'!T25+Analysis!$B25</f>
        <v>14.656455330786207</v>
      </c>
      <c r="U25" s="189">
        <f>'Firing Inaccuracy(Crouching) Ra'!U25+Analysis!$B25</f>
        <v>14.657040983570889</v>
      </c>
      <c r="V25" s="189">
        <f>'Firing Inaccuracy(Crouching) Ra'!V25+Analysis!$B25</f>
        <v>14.657360334697126</v>
      </c>
      <c r="W25" s="189">
        <f>'Firing Inaccuracy(Crouching) Ra'!W25+Analysis!$B25</f>
        <v>14.657534473955909</v>
      </c>
      <c r="X25" s="189">
        <f>'Firing Inaccuracy(Crouching) Ra'!X25+Analysis!$B25</f>
        <v>14.657629430506734</v>
      </c>
      <c r="Y25" s="189">
        <f>'Firing Inaccuracy(Crouching) Ra'!Y25+Analysis!$B25</f>
        <v>14.65768120944853</v>
      </c>
      <c r="Z25" s="189">
        <f>'Firing Inaccuracy(Crouching) Ra'!Z25+Analysis!$B25</f>
        <v>14.65770944403361</v>
      </c>
      <c r="AA25" s="189">
        <f>'Firing Inaccuracy(Crouching) Ra'!AA25+Analysis!$B25</f>
        <v>14.657724840095543</v>
      </c>
      <c r="AB25" s="189">
        <f>'Firing Inaccuracy(Crouching) Ra'!AB25+Analysis!$B25</f>
        <v>14.657733235427807</v>
      </c>
      <c r="AC25" s="189">
        <f>'Firing Inaccuracy(Crouching) Ra'!AC25+Analysis!$B25</f>
        <v>14.65773781332598</v>
      </c>
      <c r="AD25" s="189">
        <f>'Firing Inaccuracy(Crouching) Ra'!AD25+Analysis!$B25</f>
        <v>14.657740309612135</v>
      </c>
      <c r="AE25" s="189">
        <f>'Firing Inaccuracy(Crouching) Ra'!AE25+Analysis!$B25</f>
        <v>14.657741670814225</v>
      </c>
      <c r="AF25" s="189">
        <f>'Firing Inaccuracy(Crouching) Ra'!AF25+Analysis!$B25</f>
        <v>14.65774241306532</v>
      </c>
      <c r="AG25" s="189">
        <f>'Firing Inaccuracy(Crouching) Ra'!AG25+Analysis!$B25</f>
        <v>14.657742817808078</v>
      </c>
      <c r="AH25" s="189">
        <f>'Firing Inaccuracy(Crouching) Ra'!AH25+Analysis!$B25</f>
        <v>14.657743038510615</v>
      </c>
      <c r="AI25" s="189">
        <f>'Firing Inaccuracy(Crouching) Ra'!AI25+Analysis!$B25</f>
        <v>14.657743158857697</v>
      </c>
      <c r="AJ25" s="189">
        <f>'Firing Inaccuracy(Crouching) Ra'!AJ25+Analysis!$B25</f>
        <v>14.657743224481864</v>
      </c>
    </row>
    <row r="26" spans="1:36" ht="15.75" customHeight="1" x14ac:dyDescent="0.15">
      <c r="A26" s="9" t="s">
        <v>165</v>
      </c>
      <c r="B26" s="83">
        <f>'Raw Values'!F26</f>
        <v>0.09</v>
      </c>
      <c r="C26" s="15">
        <f>'Raw Values'!V26</f>
        <v>3.42</v>
      </c>
      <c r="D26" s="22">
        <f>'Raw Values'!AC26</f>
        <v>0.24999499999999999</v>
      </c>
      <c r="E26" s="33" t="str">
        <f>'Firing Inaccuracy(Crouching) Ra'!E26</f>
        <v>N/A</v>
      </c>
      <c r="F26" s="176"/>
      <c r="G26" s="189">
        <f>'Firing Inaccuracy(Crouching) Ra'!G26+Analysis!$B26</f>
        <v>11.07</v>
      </c>
      <c r="H26" s="189">
        <f>'Firing Inaccuracy(Crouching) Ra'!H26+Analysis!$B26</f>
        <v>12.562859396023505</v>
      </c>
      <c r="I26" s="189">
        <f>'Firing Inaccuracy(Crouching) Ra'!I26+Analysis!$B26</f>
        <v>13.214505354004693</v>
      </c>
      <c r="J26" s="189">
        <f>'Firing Inaccuracy(Crouching) Ra'!J26+Analysis!$B26</f>
        <v>13.498954415774563</v>
      </c>
      <c r="K26" s="189">
        <f>'Firing Inaccuracy(Crouching) Ra'!K26+Analysis!$B26</f>
        <v>13.623118876170242</v>
      </c>
      <c r="L26" s="189">
        <f>'Firing Inaccuracy(Crouching) Ra'!L26+Analysis!$B26</f>
        <v>13.677317730367282</v>
      </c>
      <c r="M26" s="189">
        <f>'Firing Inaccuracy(Crouching) Ra'!M26+Analysis!$B26</f>
        <v>13.700975996081246</v>
      </c>
      <c r="N26" s="189">
        <f>'Firing Inaccuracy(Crouching) Ra'!N26+Analysis!$B26</f>
        <v>13.711303032415957</v>
      </c>
      <c r="O26" s="189">
        <f>'Firing Inaccuracy(Crouching) Ra'!O26+Analysis!$B26</f>
        <v>13.715810872540327</v>
      </c>
      <c r="P26" s="189">
        <f>'Firing Inaccuracy(Crouching) Ra'!P26+Analysis!$B26</f>
        <v>13.717778583500984</v>
      </c>
      <c r="Q26" s="189">
        <f>'Firing Inaccuracy(Crouching) Ra'!Q26+Analysis!$B26</f>
        <v>13.718637506248431</v>
      </c>
      <c r="R26" s="189">
        <f>'Firing Inaccuracy(Crouching) Ra'!R26+Analysis!$B26</f>
        <v>13.719012433410416</v>
      </c>
      <c r="S26" s="189">
        <f>'Firing Inaccuracy(Crouching) Ra'!S26+Analysis!$B26</f>
        <v>13.719176092339243</v>
      </c>
      <c r="T26" s="189">
        <f>'Firing Inaccuracy(Crouching) Ra'!T26+Analysis!$B26</f>
        <v>13.71924753086838</v>
      </c>
      <c r="U26" s="189">
        <f>'Firing Inaccuracy(Crouching) Ra'!U26+Analysis!$B26</f>
        <v>13.719278714400385</v>
      </c>
      <c r="V26" s="189">
        <f>'Firing Inaccuracy(Crouching) Ra'!V26+Analysis!$B26</f>
        <v>13.719292326280138</v>
      </c>
      <c r="W26" s="189">
        <f>'Firing Inaccuracy(Crouching) Ra'!W26+Analysis!$B26</f>
        <v>13.719298267982648</v>
      </c>
      <c r="X26" s="189">
        <f>'Firing Inaccuracy(Crouching) Ra'!X26+Analysis!$B26</f>
        <v>13.719300861586866</v>
      </c>
      <c r="Y26" s="189">
        <f>'Firing Inaccuracy(Crouching) Ra'!Y26+Analysis!$B26</f>
        <v>13.719301993717398</v>
      </c>
      <c r="Z26" s="189">
        <f>'Firing Inaccuracy(Crouching) Ra'!Z26+Analysis!$B26</f>
        <v>13.719302487902109</v>
      </c>
      <c r="AA26" s="189">
        <f>'Firing Inaccuracy(Crouching) Ra'!AA26+Analysis!$B26</f>
        <v>13.719302703617981</v>
      </c>
      <c r="AB26" s="189">
        <f>'Firing Inaccuracy(Crouching) Ra'!AB26+Analysis!$B26</f>
        <v>13.719302797779815</v>
      </c>
      <c r="AC26" s="189">
        <f>'Firing Inaccuracy(Crouching) Ra'!AC26+Analysis!$B26</f>
        <v>13.719302838882264</v>
      </c>
      <c r="AD26" s="189">
        <f>'Firing Inaccuracy(Crouching) Ra'!AD26+Analysis!$B26</f>
        <v>13.719302856823836</v>
      </c>
      <c r="AE26" s="189">
        <f>'Firing Inaccuracy(Crouching) Ra'!AE26+Analysis!$B26</f>
        <v>13.719302864655486</v>
      </c>
      <c r="AF26" s="114"/>
      <c r="AG26" s="114"/>
      <c r="AH26" s="114"/>
      <c r="AI26" s="114"/>
      <c r="AJ26" s="114"/>
    </row>
    <row r="27" spans="1:36" ht="15.75" customHeight="1" x14ac:dyDescent="0.15">
      <c r="A27" s="39"/>
      <c r="B27" s="101"/>
      <c r="C27" s="43"/>
      <c r="D27" s="192"/>
      <c r="E27" s="193"/>
      <c r="F27" s="194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5.75" customHeight="1" x14ac:dyDescent="0.15">
      <c r="A28" s="1" t="s">
        <v>68</v>
      </c>
      <c r="B28" s="69" t="s">
        <v>95</v>
      </c>
      <c r="C28" s="4" t="s">
        <v>234</v>
      </c>
      <c r="D28" s="7" t="s">
        <v>26</v>
      </c>
      <c r="E28" s="7" t="s">
        <v>237</v>
      </c>
      <c r="F28" s="174"/>
      <c r="G28" s="175">
        <v>1</v>
      </c>
      <c r="H28" s="175">
        <v>2</v>
      </c>
      <c r="I28" s="175">
        <v>3</v>
      </c>
      <c r="J28" s="175">
        <v>4</v>
      </c>
      <c r="K28" s="175">
        <v>5</v>
      </c>
      <c r="L28" s="175">
        <v>6</v>
      </c>
      <c r="M28" s="175">
        <v>7</v>
      </c>
      <c r="N28" s="175">
        <v>8</v>
      </c>
      <c r="O28" s="175">
        <v>9</v>
      </c>
      <c r="P28" s="175">
        <v>10</v>
      </c>
      <c r="Q28" s="175">
        <v>11</v>
      </c>
      <c r="R28" s="175">
        <v>12</v>
      </c>
      <c r="S28" s="175">
        <v>13</v>
      </c>
      <c r="T28" s="175">
        <v>14</v>
      </c>
      <c r="U28" s="175">
        <v>15</v>
      </c>
      <c r="V28" s="175">
        <v>16</v>
      </c>
      <c r="W28" s="175">
        <v>17</v>
      </c>
      <c r="X28" s="175">
        <v>18</v>
      </c>
      <c r="Y28" s="175">
        <v>19</v>
      </c>
      <c r="Z28" s="175">
        <v>20</v>
      </c>
      <c r="AA28" s="175">
        <v>21</v>
      </c>
      <c r="AB28" s="175">
        <v>22</v>
      </c>
      <c r="AC28" s="175">
        <v>23</v>
      </c>
      <c r="AD28" s="175">
        <v>24</v>
      </c>
      <c r="AE28" s="175">
        <v>25</v>
      </c>
      <c r="AF28" s="175">
        <v>26</v>
      </c>
      <c r="AG28" s="175">
        <v>27</v>
      </c>
      <c r="AH28" s="175">
        <v>28</v>
      </c>
      <c r="AI28" s="175">
        <v>29</v>
      </c>
      <c r="AJ28" s="175">
        <v>30</v>
      </c>
    </row>
    <row r="29" spans="1:36" ht="15.75" customHeight="1" x14ac:dyDescent="0.15">
      <c r="A29" s="36" t="s">
        <v>166</v>
      </c>
      <c r="B29" s="83">
        <f>'Raw Values'!F29</f>
        <v>0.1</v>
      </c>
      <c r="C29" s="15">
        <f>'Raw Values'!V29</f>
        <v>7.8</v>
      </c>
      <c r="D29" s="22">
        <f>'Raw Values'!AC29</f>
        <v>0.305257</v>
      </c>
      <c r="E29" s="33">
        <f>'Firing Inaccuracy(Crouching) Ra'!E29</f>
        <v>0.41972799999999999</v>
      </c>
      <c r="F29" s="176"/>
      <c r="G29" s="189">
        <f>'Firing Inaccuracy(Crouching) Ra'!G29+Analysis!$B29</f>
        <v>5.4099999999999993</v>
      </c>
      <c r="H29" s="189">
        <f>'Firing Inaccuracy(Crouching) Ra'!H29+Analysis!$B29</f>
        <v>9.0786120435449291</v>
      </c>
      <c r="I29" s="189">
        <f>'Firing Inaccuracy(Crouching) Ra'!I29+Analysis!$B29</f>
        <v>10.804088239191456</v>
      </c>
      <c r="J29" s="189">
        <f>'Firing Inaccuracy(Crouching) Ra'!J29+Analysis!$B29</f>
        <v>12.15816455974397</v>
      </c>
      <c r="K29" s="189">
        <f>'Firing Inaccuracy(Crouching) Ra'!K29+Analysis!$B29</f>
        <v>13.366714607045619</v>
      </c>
      <c r="L29" s="189">
        <f>'Firing Inaccuracy(Crouching) Ra'!L29+Analysis!$B29</f>
        <v>14.513662230790402</v>
      </c>
      <c r="M29" s="189">
        <f>'Firing Inaccuracy(Crouching) Ra'!M29+Analysis!$B29</f>
        <v>15.176327261120473</v>
      </c>
      <c r="N29" s="189">
        <f>'Firing Inaccuracy(Crouching) Ra'!N29+Analysis!$B29</f>
        <v>15.559191250139094</v>
      </c>
      <c r="O29" s="189">
        <f>'Firing Inaccuracy(Crouching) Ra'!O29+Analysis!$B29</f>
        <v>15.780396274364133</v>
      </c>
      <c r="P29" s="189">
        <f>'Firing Inaccuracy(Crouching) Ra'!P29+Analysis!$B29</f>
        <v>15.908200570787582</v>
      </c>
      <c r="Q29" s="189">
        <f>'Firing Inaccuracy(Crouching) Ra'!Q29+Analysis!$B29</f>
        <v>15.982041290461634</v>
      </c>
      <c r="R29" s="189">
        <f>'Firing Inaccuracy(Crouching) Ra'!R29+Analysis!$B29</f>
        <v>16.024703798957567</v>
      </c>
      <c r="S29" s="189">
        <f>'Firing Inaccuracy(Crouching) Ra'!S29+Analysis!$B29</f>
        <v>16.049352659900414</v>
      </c>
      <c r="T29" s="189">
        <f>'Firing Inaccuracy(Crouching) Ra'!T29+Analysis!$B29</f>
        <v>16.063593884038411</v>
      </c>
      <c r="U29" s="189">
        <f>'Firing Inaccuracy(Crouching) Ra'!U29+Analysis!$B29</f>
        <v>16.071821950455718</v>
      </c>
      <c r="V29" s="189">
        <f>'Firing Inaccuracy(Crouching) Ra'!V29+Analysis!$B29</f>
        <v>16.076575830902481</v>
      </c>
      <c r="W29" s="189">
        <f>'Firing Inaccuracy(Crouching) Ra'!W29+Analysis!$B29</f>
        <v>16.079322451816306</v>
      </c>
      <c r="X29" s="189">
        <f>'Firing Inaccuracy(Crouching) Ra'!X29+Analysis!$B29</f>
        <v>16.080909350462317</v>
      </c>
      <c r="Y29" s="189">
        <f>'Firing Inaccuracy(Crouching) Ra'!Y29+Analysis!$B29</f>
        <v>16.081826203348726</v>
      </c>
      <c r="Z29" s="189">
        <f>'Firing Inaccuracy(Crouching) Ra'!Z29+Analysis!$B29</f>
        <v>16.082355927926553</v>
      </c>
      <c r="AA29" s="189">
        <f>'Firing Inaccuracy(Crouching) Ra'!AA29+Analysis!$B29</f>
        <v>16.08266198370989</v>
      </c>
      <c r="AB29" s="189">
        <f>'Firing Inaccuracy(Crouching) Ra'!AB29+Analysis!$B29</f>
        <v>16.082838811719078</v>
      </c>
      <c r="AC29" s="189">
        <f>'Firing Inaccuracy(Crouching) Ra'!AC29+Analysis!$B29</f>
        <v>16.082940976574427</v>
      </c>
      <c r="AD29" s="189">
        <f>'Firing Inaccuracy(Crouching) Ra'!AD29+Analysis!$B29</f>
        <v>16.083000003748438</v>
      </c>
      <c r="AE29" s="189">
        <f>'Firing Inaccuracy(Crouching) Ra'!AE29+Analysis!$B29</f>
        <v>16.083034107523751</v>
      </c>
      <c r="AF29" s="189">
        <f>'Firing Inaccuracy(Crouching) Ra'!AF29+Analysis!$B29</f>
        <v>16.083053811456899</v>
      </c>
      <c r="AG29" s="189">
        <f>'Firing Inaccuracy(Crouching) Ra'!AG29+Analysis!$B29</f>
        <v>16.083065195679847</v>
      </c>
      <c r="AH29" s="189">
        <f>'Firing Inaccuracy(Crouching) Ra'!AH29+Analysis!$B29</f>
        <v>16.083071773073868</v>
      </c>
      <c r="AI29" s="189">
        <f>'Firing Inaccuracy(Crouching) Ra'!AI29+Analysis!$B29</f>
        <v>16.083075573255254</v>
      </c>
      <c r="AJ29" s="189">
        <f>'Firing Inaccuracy(Crouching) Ra'!AJ29+Analysis!$B29</f>
        <v>16.083077768863195</v>
      </c>
    </row>
    <row r="30" spans="1:36" ht="15.75" customHeight="1" x14ac:dyDescent="0.15">
      <c r="A30" s="35" t="s">
        <v>168</v>
      </c>
      <c r="B30" s="83">
        <f>'Raw Values'!F30</f>
        <v>0.1</v>
      </c>
      <c r="C30" s="15">
        <f>'Raw Values'!V30</f>
        <v>7.29</v>
      </c>
      <c r="D30" s="22">
        <f>'Raw Values'!AC30</f>
        <v>0.30552000000000001</v>
      </c>
      <c r="E30" s="33" t="str">
        <f>'Firing Inaccuracy(Crouching) Ra'!E30</f>
        <v>N/A</v>
      </c>
      <c r="F30" s="176"/>
      <c r="G30" s="189">
        <f>'Firing Inaccuracy(Crouching) Ra'!G30+Analysis!$B30</f>
        <v>4.18</v>
      </c>
      <c r="H30" s="189">
        <f>'Firing Inaccuracy(Crouching) Ra'!H30+Analysis!$B30</f>
        <v>7.6109683671760262</v>
      </c>
      <c r="I30" s="189">
        <f>'Firing Inaccuracy(Crouching) Ra'!I30+Analysis!$B30</f>
        <v>9.2257206218485273</v>
      </c>
      <c r="J30" s="189">
        <f>'Firing Inaccuracy(Crouching) Ra'!J30+Analysis!$B30</f>
        <v>9.9856882359236323</v>
      </c>
      <c r="K30" s="189">
        <f>'Firing Inaccuracy(Crouching) Ra'!K30+Analysis!$B30</f>
        <v>10.34335968228439</v>
      </c>
      <c r="L30" s="189">
        <f>'Firing Inaccuracy(Crouching) Ra'!L30+Analysis!$B30</f>
        <v>10.511694307566401</v>
      </c>
      <c r="M30" s="189">
        <f>'Firing Inaccuracy(Crouching) Ra'!M30+Analysis!$B30</f>
        <v>10.590919379506458</v>
      </c>
      <c r="N30" s="189">
        <f>'Firing Inaccuracy(Crouching) Ra'!N30+Analysis!$B30</f>
        <v>10.62820589743699</v>
      </c>
      <c r="O30" s="189">
        <f>'Firing Inaccuracy(Crouching) Ra'!O30+Analysis!$B30</f>
        <v>10.645754438389226</v>
      </c>
      <c r="P30" s="189">
        <f>'Firing Inaccuracy(Crouching) Ra'!P30+Analysis!$B30</f>
        <v>10.65401349036415</v>
      </c>
      <c r="Q30" s="189">
        <f>'Firing Inaccuracy(Crouching) Ra'!Q30+Analysis!$B30</f>
        <v>10.657900533720644</v>
      </c>
      <c r="R30" s="189">
        <f>'Firing Inaccuracy(Crouching) Ra'!R30+Analysis!$B30</f>
        <v>10.659729933281408</v>
      </c>
      <c r="S30" s="189">
        <f>'Firing Inaccuracy(Crouching) Ra'!S30+Analysis!$B30</f>
        <v>10.660590922585101</v>
      </c>
      <c r="T30" s="189">
        <f>'Firing Inaccuracy(Crouching) Ra'!T30+Analysis!$B30</f>
        <v>10.660996138917808</v>
      </c>
      <c r="U30" s="189">
        <f>'Firing Inaccuracy(Crouching) Ra'!U30+Analysis!$B30</f>
        <v>10.661186850086448</v>
      </c>
      <c r="V30" s="189">
        <f>'Firing Inaccuracy(Crouching) Ra'!V30+Analysis!$B30</f>
        <v>10.661276606463247</v>
      </c>
      <c r="W30" s="189">
        <f>'Firing Inaccuracy(Crouching) Ra'!W30+Analysis!$B30</f>
        <v>10.661318849438494</v>
      </c>
      <c r="X30" s="189">
        <f>'Firing Inaccuracy(Crouching) Ra'!X30+Analysis!$B30</f>
        <v>10.661338730688399</v>
      </c>
      <c r="Y30" s="189">
        <f>'Firing Inaccuracy(Crouching) Ra'!Y30+Analysis!$B30</f>
        <v>10.661348087607401</v>
      </c>
      <c r="Z30" s="189">
        <f>'Firing Inaccuracy(Crouching) Ra'!Z30+Analysis!$B30</f>
        <v>10.661352491351312</v>
      </c>
      <c r="AA30" s="189">
        <f>'Firing Inaccuracy(Crouching) Ra'!AA30+Analysis!$B30</f>
        <v>10.661354563931017</v>
      </c>
      <c r="AB30" s="189">
        <f>'Firing Inaccuracy(Crouching) Ra'!AB30+Analysis!$B30</f>
        <v>10.661355539370717</v>
      </c>
      <c r="AC30" s="189">
        <f>'Firing Inaccuracy(Crouching) Ra'!AC30+Analysis!$B30</f>
        <v>10.661355998452027</v>
      </c>
      <c r="AD30" s="189">
        <f>'Firing Inaccuracy(Crouching) Ra'!AD30+Analysis!$B30</f>
        <v>10.661356214514228</v>
      </c>
      <c r="AE30" s="189">
        <f>'Firing Inaccuracy(Crouching) Ra'!AE30+Analysis!$B30</f>
        <v>10.661356316201827</v>
      </c>
      <c r="AF30" s="189">
        <f>'Firing Inaccuracy(Crouching) Ra'!AF30+Analysis!$B30</f>
        <v>10.661356364060117</v>
      </c>
      <c r="AG30" s="189">
        <f>'Firing Inaccuracy(Crouching) Ra'!AG30+Analysis!$B30</f>
        <v>10.66135638658416</v>
      </c>
      <c r="AH30" s="189">
        <f>'Firing Inaccuracy(Crouching) Ra'!AH30+Analysis!$B30</f>
        <v>10.661356397184885</v>
      </c>
      <c r="AI30" s="189">
        <f>'Firing Inaccuracy(Crouching) Ra'!AI30+Analysis!$B30</f>
        <v>10.661356402174015</v>
      </c>
      <c r="AJ30" s="189">
        <f>'Firing Inaccuracy(Crouching) Ra'!AJ30+Analysis!$B30</f>
        <v>10.661356404522099</v>
      </c>
    </row>
    <row r="31" spans="1:36" ht="15.75" customHeight="1" x14ac:dyDescent="0.15">
      <c r="A31" s="35" t="s">
        <v>169</v>
      </c>
      <c r="B31" s="83">
        <f>'Raw Values'!F31</f>
        <v>0.09</v>
      </c>
      <c r="C31" s="15">
        <f>'Raw Values'!V31</f>
        <v>6.05</v>
      </c>
      <c r="D31" s="22">
        <f>'Raw Values'!AC31</f>
        <v>0.12</v>
      </c>
      <c r="E31" s="33">
        <f>'Firing Inaccuracy(Crouching) Ra'!E31</f>
        <v>0.48</v>
      </c>
      <c r="F31" s="176"/>
      <c r="G31" s="189">
        <f>'Firing Inaccuracy(Crouching) Ra'!G31+Analysis!$B31</f>
        <v>7.9899999999999993</v>
      </c>
      <c r="H31" s="189">
        <f>'Firing Inaccuracy(Crouching) Ra'!H31+Analysis!$B31</f>
        <v>9.065859043073548</v>
      </c>
      <c r="I31" s="189">
        <f>'Firing Inaccuracy(Crouching) Ra'!I31+Analysis!$B31</f>
        <v>9.2571768415137345</v>
      </c>
      <c r="J31" s="189">
        <f>'Firing Inaccuracy(Crouching) Ra'!J31+Analysis!$B31</f>
        <v>11.075627889034939</v>
      </c>
      <c r="K31" s="189">
        <f>'Firing Inaccuracy(Crouching) Ra'!K31+Analysis!$B31</f>
        <v>13.127341093565818</v>
      </c>
      <c r="L31" s="189">
        <f>'Firing Inaccuracy(Crouching) Ra'!L31+Analysis!$B31</f>
        <v>15.254853812339368</v>
      </c>
      <c r="M31" s="189">
        <f>'Firing Inaccuracy(Crouching) Ra'!M31+Analysis!$B31</f>
        <v>16.636421492855675</v>
      </c>
      <c r="N31" s="189">
        <f>'Firing Inaccuracy(Crouching) Ra'!N31+Analysis!$B31</f>
        <v>17.533586167362319</v>
      </c>
      <c r="O31" s="189">
        <f>'Firing Inaccuracy(Crouching) Ra'!O31+Analysis!$B31</f>
        <v>18.11618842748598</v>
      </c>
      <c r="P31" s="189">
        <f>'Firing Inaccuracy(Crouching) Ra'!P31+Analysis!$B31</f>
        <v>18.494519633725076</v>
      </c>
      <c r="Q31" s="189">
        <f>'Firing Inaccuracy(Crouching) Ra'!Q31+Analysis!$B31</f>
        <v>18.740200969708813</v>
      </c>
      <c r="R31" s="189">
        <f>'Firing Inaccuracy(Crouching) Ra'!R31+Analysis!$B31</f>
        <v>18.899741916517758</v>
      </c>
      <c r="S31" s="189">
        <f>'Firing Inaccuracy(Crouching) Ra'!S31+Analysis!$B31</f>
        <v>19.00334487685976</v>
      </c>
      <c r="T31" s="189">
        <f>'Firing Inaccuracy(Crouching) Ra'!T31+Analysis!$B31</f>
        <v>19.070622736282779</v>
      </c>
      <c r="U31" s="189">
        <f>'Firing Inaccuracy(Crouching) Ra'!U31+Analysis!$B31</f>
        <v>19.114311742403849</v>
      </c>
      <c r="V31" s="189">
        <f>'Firing Inaccuracy(Crouching) Ra'!V31+Analysis!$B31</f>
        <v>19.142682580480699</v>
      </c>
      <c r="W31" s="189">
        <f>'Firing Inaccuracy(Crouching) Ra'!W31+Analysis!$B31</f>
        <v>19.161106081600224</v>
      </c>
      <c r="X31" s="189">
        <f>'Firing Inaccuracy(Crouching) Ra'!X31+Analysis!$B31</f>
        <v>19.17306996481657</v>
      </c>
      <c r="Y31" s="189">
        <f>'Firing Inaccuracy(Crouching) Ra'!Y31+Analysis!$B31</f>
        <v>19.180839090819585</v>
      </c>
      <c r="Z31" s="189">
        <f>'Firing Inaccuracy(Crouching) Ra'!Z31+Analysis!$B31</f>
        <v>19.185884218539343</v>
      </c>
      <c r="AA31" s="189">
        <f>'Firing Inaccuracy(Crouching) Ra'!AA31+Analysis!$B31</f>
        <v>19.189160431809512</v>
      </c>
      <c r="AB31" s="189">
        <f>'Firing Inaccuracy(Crouching) Ra'!AB31+Analysis!$B31</f>
        <v>19.191287944528288</v>
      </c>
      <c r="AC31" s="189">
        <f>'Firing Inaccuracy(Crouching) Ra'!AC31+Analysis!$B31</f>
        <v>19.192669512208802</v>
      </c>
      <c r="AD31" s="189">
        <f>'Firing Inaccuracy(Crouching) Ra'!AD31+Analysis!$B31</f>
        <v>19.193566676883311</v>
      </c>
      <c r="AE31" s="189">
        <f>'Firing Inaccuracy(Crouching) Ra'!AE31+Analysis!$B31</f>
        <v>19.194149279143435</v>
      </c>
      <c r="AF31" s="114"/>
      <c r="AG31" s="114"/>
      <c r="AH31" s="114"/>
      <c r="AI31" s="114"/>
      <c r="AJ31" s="114"/>
    </row>
    <row r="32" spans="1:36" ht="15.75" customHeight="1" x14ac:dyDescent="0.15">
      <c r="A32" s="36" t="s">
        <v>170</v>
      </c>
      <c r="B32" s="83">
        <f>'Raw Values'!F32</f>
        <v>0.09</v>
      </c>
      <c r="C32" s="15">
        <f>'Raw Values'!V32</f>
        <v>7</v>
      </c>
      <c r="D32" s="22">
        <f>'Raw Values'!AC32</f>
        <v>0.15</v>
      </c>
      <c r="E32" s="33">
        <f>'Firing Inaccuracy(Crouching) Ra'!E32</f>
        <v>0.47</v>
      </c>
      <c r="F32" s="176"/>
      <c r="G32" s="189">
        <f>'Firing Inaccuracy(Crouching) Ra'!G32+Analysis!$B32</f>
        <v>7.18</v>
      </c>
      <c r="H32" s="189">
        <f>'Firing Inaccuracy(Crouching) Ra'!H32+Analysis!$B32</f>
        <v>8.9383205020567065</v>
      </c>
      <c r="I32" s="189">
        <f>'Firing Inaccuracy(Crouching) Ra'!I32+Analysis!$B32</f>
        <v>9.3799906431928424</v>
      </c>
      <c r="J32" s="189">
        <f>'Firing Inaccuracy(Crouching) Ra'!J32+Analysis!$B32</f>
        <v>11.283345018858469</v>
      </c>
      <c r="K32" s="189">
        <f>'Firing Inaccuracy(Crouching) Ra'!K32+Analysis!$B32</f>
        <v>13.456931843807384</v>
      </c>
      <c r="L32" s="189">
        <f>'Firing Inaccuracy(Crouching) Ra'!L32+Analysis!$B32</f>
        <v>15.72295982754054</v>
      </c>
      <c r="M32" s="189">
        <f>'Firing Inaccuracy(Crouching) Ra'!M32+Analysis!$B32</f>
        <v>17.181021543971227</v>
      </c>
      <c r="N32" s="189">
        <f>'Firing Inaccuracy(Crouching) Ra'!N32+Analysis!$B32</f>
        <v>18.119202353820903</v>
      </c>
      <c r="O32" s="189">
        <f>'Firing Inaccuracy(Crouching) Ra'!O32+Analysis!$B32</f>
        <v>18.72286900390268</v>
      </c>
      <c r="P32" s="189">
        <f>'Firing Inaccuracy(Crouching) Ra'!P32+Analysis!$B32</f>
        <v>19.111294583060861</v>
      </c>
      <c r="Q32" s="189">
        <f>'Firing Inaccuracy(Crouching) Ra'!Q32+Analysis!$B32</f>
        <v>19.36122462395997</v>
      </c>
      <c r="R32" s="189">
        <f>'Firing Inaccuracy(Crouching) Ra'!R32+Analysis!$B32</f>
        <v>19.522040565791634</v>
      </c>
      <c r="S32" s="189">
        <f>'Firing Inaccuracy(Crouching) Ra'!S32+Analysis!$B32</f>
        <v>19.625516590739128</v>
      </c>
      <c r="T32" s="189">
        <f>'Firing Inaccuracy(Crouching) Ra'!T32+Analysis!$B32</f>
        <v>19.692097600165063</v>
      </c>
      <c r="U32" s="189">
        <f>'Firing Inaccuracy(Crouching) Ra'!U32+Analysis!$B32</f>
        <v>19.73493873963119</v>
      </c>
      <c r="V32" s="189">
        <f>'Firing Inaccuracy(Crouching) Ra'!V32+Analysis!$B32</f>
        <v>19.762504606333739</v>
      </c>
      <c r="W32" s="189">
        <f>'Firing Inaccuracy(Crouching) Ra'!W32+Analysis!$B32</f>
        <v>19.78024169308101</v>
      </c>
      <c r="X32" s="189">
        <f>'Firing Inaccuracy(Crouching) Ra'!X32+Analysis!$B32</f>
        <v>19.791654512045671</v>
      </c>
      <c r="Y32" s="189">
        <f>'Firing Inaccuracy(Crouching) Ra'!Y32+Analysis!$B32</f>
        <v>19.798998019949536</v>
      </c>
      <c r="Z32" s="189">
        <f>'Firing Inaccuracy(Crouching) Ra'!Z32+Analysis!$B32</f>
        <v>19.803723154773905</v>
      </c>
      <c r="AA32" s="189">
        <f>'Firing Inaccuracy(Crouching) Ra'!AA32+Analysis!$B32</f>
        <v>19.80676351360524</v>
      </c>
      <c r="AB32" s="189">
        <f>'Firing Inaccuracy(Crouching) Ra'!AB32+Analysis!$B32</f>
        <v>19.808719813725098</v>
      </c>
      <c r="AC32" s="189">
        <f>'Firing Inaccuracy(Crouching) Ra'!AC32+Analysis!$B32</f>
        <v>19.809978582959673</v>
      </c>
      <c r="AD32" s="189">
        <f>'Firing Inaccuracy(Crouching) Ra'!AD32+Analysis!$B32</f>
        <v>19.810788530252438</v>
      </c>
      <c r="AE32" s="189">
        <f>'Firing Inaccuracy(Crouching) Ra'!AE32+Analysis!$B32</f>
        <v>19.811309685837621</v>
      </c>
      <c r="AF32" s="189">
        <f>'Firing Inaccuracy(Crouching) Ra'!AF32+Analysis!$B32</f>
        <v>19.811645020181469</v>
      </c>
      <c r="AG32" s="189">
        <f>'Firing Inaccuracy(Crouching) Ra'!AG32+Analysis!$B32</f>
        <v>19.811860788994775</v>
      </c>
      <c r="AH32" s="189">
        <f>'Firing Inaccuracy(Crouching) Ra'!AH32+Analysis!$B32</f>
        <v>19.81199962410561</v>
      </c>
      <c r="AI32" s="189">
        <f>'Firing Inaccuracy(Crouching) Ra'!AI32+Analysis!$B32</f>
        <v>19.812088956700556</v>
      </c>
      <c r="AJ32" s="189">
        <f>'Firing Inaccuracy(Crouching) Ra'!AJ32+Analysis!$B32</f>
        <v>19.812146437207264</v>
      </c>
    </row>
    <row r="33" spans="1:36" ht="15.75" customHeight="1" x14ac:dyDescent="0.15">
      <c r="A33" s="35" t="s">
        <v>171</v>
      </c>
      <c r="B33" s="83">
        <f>'Raw Values'!F33</f>
        <v>0.09</v>
      </c>
      <c r="C33" s="15">
        <f>'Raw Values'!V33</f>
        <v>7</v>
      </c>
      <c r="D33" s="22">
        <f>'Raw Values'!AC33</f>
        <v>0.24210000000000001</v>
      </c>
      <c r="E33" s="33">
        <f>'Firing Inaccuracy(Crouching) Ra'!E33</f>
        <v>0.33288800000000002</v>
      </c>
      <c r="F33" s="176"/>
      <c r="G33" s="189">
        <f>'Firing Inaccuracy(Crouching) Ra'!G33+Analysis!$B33</f>
        <v>4.6999999999999993</v>
      </c>
      <c r="H33" s="189">
        <f>'Firing Inaccuracy(Crouching) Ra'!H33+Analysis!$B33</f>
        <v>7.6740675478721325</v>
      </c>
      <c r="I33" s="189">
        <f>'Firing Inaccuracy(Crouching) Ra'!I33+Analysis!$B33</f>
        <v>8.9376500877730134</v>
      </c>
      <c r="J33" s="189">
        <f>'Firing Inaccuracy(Crouching) Ra'!J33+Analysis!$B33</f>
        <v>9.9508999238108657</v>
      </c>
      <c r="K33" s="189">
        <f>'Firing Inaccuracy(Crouching) Ra'!K33+Analysis!$B33</f>
        <v>10.876899712512667</v>
      </c>
      <c r="L33" s="189">
        <f>'Firing Inaccuracy(Crouching) Ra'!L33+Analysis!$B33</f>
        <v>11.770531118869298</v>
      </c>
      <c r="M33" s="189">
        <f>'Firing Inaccuracy(Crouching) Ra'!M33+Analysis!$B33</f>
        <v>12.250040624541832</v>
      </c>
      <c r="N33" s="189">
        <f>'Firing Inaccuracy(Crouching) Ra'!N33+Analysis!$B33</f>
        <v>12.507338392273326</v>
      </c>
      <c r="O33" s="189">
        <f>'Firing Inaccuracy(Crouching) Ra'!O33+Analysis!$B33</f>
        <v>12.645400600626754</v>
      </c>
      <c r="P33" s="189">
        <f>'Firing Inaccuracy(Crouching) Ra'!P33+Analysis!$B33</f>
        <v>12.719482756657413</v>
      </c>
      <c r="Q33" s="189">
        <f>'Firing Inaccuracy(Crouching) Ra'!Q33+Analysis!$B33</f>
        <v>12.759234155013305</v>
      </c>
      <c r="R33" s="189">
        <f>'Firing Inaccuracy(Crouching) Ra'!R33+Analysis!$B33</f>
        <v>12.780564172333463</v>
      </c>
      <c r="S33" s="189">
        <f>'Firing Inaccuracy(Crouching) Ra'!S33+Analysis!$B33</f>
        <v>12.792009546778029</v>
      </c>
      <c r="T33" s="189">
        <f>'Firing Inaccuracy(Crouching) Ra'!T33+Analysis!$B33</f>
        <v>12.798150966834568</v>
      </c>
      <c r="U33" s="189">
        <f>'Firing Inaccuracy(Crouching) Ra'!U33+Analysis!$B33</f>
        <v>12.801446362760103</v>
      </c>
      <c r="V33" s="189">
        <f>'Firing Inaccuracy(Crouching) Ra'!V33+Analysis!$B33</f>
        <v>12.803214623879853</v>
      </c>
      <c r="W33" s="189">
        <f>'Firing Inaccuracy(Crouching) Ra'!W33+Analysis!$B33</f>
        <v>12.804163446861454</v>
      </c>
      <c r="X33" s="189">
        <f>'Firing Inaccuracy(Crouching) Ra'!X33+Analysis!$B33</f>
        <v>12.804672571356903</v>
      </c>
      <c r="Y33" s="189">
        <f>'Firing Inaccuracy(Crouching) Ra'!Y33+Analysis!$B33</f>
        <v>12.804945760093782</v>
      </c>
      <c r="Z33" s="189">
        <f>'Firing Inaccuracy(Crouching) Ra'!Z33+Analysis!$B33</f>
        <v>12.805092349163106</v>
      </c>
      <c r="AA33" s="189">
        <f>'Firing Inaccuracy(Crouching) Ra'!AA33+Analysis!$B33</f>
        <v>12.805171006707669</v>
      </c>
      <c r="AB33" s="189">
        <f>'Firing Inaccuracy(Crouching) Ra'!AB33+Analysis!$B33</f>
        <v>12.805213213192404</v>
      </c>
      <c r="AC33" s="189">
        <f>'Firing Inaccuracy(Crouching) Ra'!AC33+Analysis!$B33</f>
        <v>12.805235860573067</v>
      </c>
      <c r="AD33" s="189">
        <f>'Firing Inaccuracy(Crouching) Ra'!AD33+Analysis!$B33</f>
        <v>12.805248012825359</v>
      </c>
      <c r="AE33" s="189">
        <f>'Firing Inaccuracy(Crouching) Ra'!AE33+Analysis!$B33</f>
        <v>12.8052545335457</v>
      </c>
      <c r="AF33" s="189">
        <f>'Firing Inaccuracy(Crouching) Ra'!AF33+Analysis!$B33</f>
        <v>12.805258032468595</v>
      </c>
      <c r="AG33" s="189">
        <f>'Firing Inaccuracy(Crouching) Ra'!AG33+Analysis!$B33</f>
        <v>12.805259909939302</v>
      </c>
      <c r="AH33" s="189">
        <f>'Firing Inaccuracy(Crouching) Ra'!AH33+Analysis!$B33</f>
        <v>12.805260917362546</v>
      </c>
      <c r="AI33" s="189">
        <f>'Firing Inaccuracy(Crouching) Ra'!AI33+Analysis!$B33</f>
        <v>12.805261457931083</v>
      </c>
      <c r="AJ33" s="189">
        <f>'Firing Inaccuracy(Crouching) Ra'!AJ33+Analysis!$B33</f>
        <v>12.805261747992231</v>
      </c>
    </row>
    <row r="34" spans="1:36" ht="15.75" customHeight="1" x14ac:dyDescent="0.15">
      <c r="A34" s="35" t="s">
        <v>172</v>
      </c>
      <c r="B34" s="83">
        <f>'Raw Values'!F34</f>
        <v>0.1</v>
      </c>
      <c r="C34" s="15">
        <f>'Raw Values'!AM34</f>
        <v>7</v>
      </c>
      <c r="D34" s="22">
        <f>'Raw Values'!AC34</f>
        <v>0.24210000000000001</v>
      </c>
      <c r="E34" s="33">
        <f>'Firing Inaccuracy(Crouching) Ra'!E34</f>
        <v>0.33288800000000002</v>
      </c>
      <c r="F34" s="176"/>
      <c r="G34" s="189">
        <f>'Firing Inaccuracy(Crouching) Ra'!G34+Analysis!$B34</f>
        <v>4.5999999999999996</v>
      </c>
      <c r="H34" s="189">
        <f>'Firing Inaccuracy(Crouching) Ra'!H34+Analysis!$B34</f>
        <v>7.30424217902201</v>
      </c>
      <c r="I34" s="189">
        <f>'Firing Inaccuracy(Crouching) Ra'!I34+Analysis!$B34</f>
        <v>8.3489458594222548</v>
      </c>
      <c r="J34" s="189">
        <f>'Firing Inaccuracy(Crouching) Ra'!J34+Analysis!$B34</f>
        <v>9.215389523919665</v>
      </c>
      <c r="K34" s="189">
        <f>'Firing Inaccuracy(Crouching) Ra'!K34+Analysis!$B34</f>
        <v>10.027404324547849</v>
      </c>
      <c r="L34" s="189">
        <f>'Firing Inaccuracy(Crouching) Ra'!L34+Analysis!$B34</f>
        <v>10.822703269953434</v>
      </c>
      <c r="M34" s="189">
        <f>'Firing Inaccuracy(Crouching) Ra'!M34+Analysis!$B34</f>
        <v>11.220928773761198</v>
      </c>
      <c r="N34" s="189">
        <f>'Firing Inaccuracy(Crouching) Ra'!N34+Analysis!$B34</f>
        <v>11.420329958434053</v>
      </c>
      <c r="O34" s="189">
        <f>'Firing Inaccuracy(Crouching) Ra'!O34+Analysis!$B34</f>
        <v>11.520174976065402</v>
      </c>
      <c r="P34" s="189">
        <f>'Firing Inaccuracy(Crouching) Ra'!P34+Analysis!$B34</f>
        <v>11.570169802135066</v>
      </c>
      <c r="Q34" s="189">
        <f>'Firing Inaccuracy(Crouching) Ra'!Q34+Analysis!$B34</f>
        <v>11.595203426175921</v>
      </c>
      <c r="R34" s="189">
        <f>'Firing Inaccuracy(Crouching) Ra'!R34+Analysis!$B34</f>
        <v>11.607738369926816</v>
      </c>
      <c r="S34" s="189">
        <f>'Firing Inaccuracy(Crouching) Ra'!S34+Analysis!$B34</f>
        <v>11.614014920800219</v>
      </c>
      <c r="T34" s="189">
        <f>'Firing Inaccuracy(Crouching) Ra'!T34+Analysis!$B34</f>
        <v>11.617157742311772</v>
      </c>
      <c r="U34" s="189">
        <f>'Firing Inaccuracy(Crouching) Ra'!U34+Analysis!$B34</f>
        <v>11.618731429397673</v>
      </c>
      <c r="V34" s="189">
        <f>'Firing Inaccuracy(Crouching) Ra'!V34+Analysis!$B34</f>
        <v>11.619519412754421</v>
      </c>
      <c r="W34" s="189">
        <f>'Firing Inaccuracy(Crouching) Ra'!W34+Analysis!$B34</f>
        <v>11.619913975165254</v>
      </c>
      <c r="X34" s="189">
        <f>'Firing Inaccuracy(Crouching) Ra'!X34+Analysis!$B34</f>
        <v>11.620111542150282</v>
      </c>
      <c r="Y34" s="189">
        <f>'Firing Inaccuracy(Crouching) Ra'!Y34+Analysis!$B34</f>
        <v>11.620210468739588</v>
      </c>
      <c r="Z34" s="189">
        <f>'Firing Inaccuracy(Crouching) Ra'!Z34+Analysis!$B34</f>
        <v>11.620260003686282</v>
      </c>
      <c r="AA34" s="189">
        <f>'Firing Inaccuracy(Crouching) Ra'!AA34+Analysis!$B34</f>
        <v>11.620284807037546</v>
      </c>
      <c r="AB34" s="189">
        <f>'Firing Inaccuracy(Crouching) Ra'!AB34+Analysis!$B34</f>
        <v>11.620297226678122</v>
      </c>
      <c r="AC34" s="189">
        <f>'Firing Inaccuracy(Crouching) Ra'!AC34+Analysis!$B34</f>
        <v>11.620303445493896</v>
      </c>
      <c r="AD34" s="189">
        <f>'Firing Inaccuracy(Crouching) Ra'!AD34+Analysis!$B34</f>
        <v>11.620306559406041</v>
      </c>
      <c r="AE34" s="189">
        <f>'Firing Inaccuracy(Crouching) Ra'!AE34+Analysis!$B34</f>
        <v>11.620308118617505</v>
      </c>
      <c r="AF34" s="114"/>
      <c r="AG34" s="114"/>
      <c r="AH34" s="114"/>
      <c r="AI34" s="114"/>
      <c r="AJ34" s="114"/>
    </row>
    <row r="35" spans="1:36" ht="15.75" customHeight="1" x14ac:dyDescent="0.15">
      <c r="A35" s="36" t="s">
        <v>173</v>
      </c>
      <c r="B35" s="83">
        <f>'Raw Values'!F35</f>
        <v>0.11</v>
      </c>
      <c r="C35" s="15">
        <f>'Raw Values'!V35</f>
        <v>7.95</v>
      </c>
      <c r="D35" s="22">
        <f>'Raw Values'!AC35</f>
        <v>0.37920399999999999</v>
      </c>
      <c r="E35" s="33" t="str">
        <f>'Firing Inaccuracy(Crouching) Ra'!E35</f>
        <v>N/A</v>
      </c>
      <c r="F35" s="176"/>
      <c r="G35" s="189">
        <f>'Firing Inaccuracy(Crouching) Ra'!G35+Analysis!$B35</f>
        <v>4.41</v>
      </c>
      <c r="H35" s="189">
        <f>'Firing Inaccuracy(Crouching) Ra'!H35+Analysis!$B35</f>
        <v>8.4864845474329957</v>
      </c>
      <c r="I35" s="189">
        <f>'Firing Inaccuracy(Crouching) Ra'!I35+Analysis!$B35</f>
        <v>10.576764580824191</v>
      </c>
      <c r="J35" s="189">
        <f>'Firing Inaccuracy(Crouching) Ra'!J35+Analysis!$B35</f>
        <v>11.648587757670345</v>
      </c>
      <c r="K35" s="189">
        <f>'Firing Inaccuracy(Crouching) Ra'!K35+Analysis!$B35</f>
        <v>12.198181546097251</v>
      </c>
      <c r="L35" s="189">
        <f>'Firing Inaccuracy(Crouching) Ra'!L35+Analysis!$B35</f>
        <v>12.479994198410136</v>
      </c>
      <c r="M35" s="189">
        <f>'Firing Inaccuracy(Crouching) Ra'!M35+Analysis!$B35</f>
        <v>12.624497962237127</v>
      </c>
      <c r="N35" s="189">
        <f>'Firing Inaccuracy(Crouching) Ra'!N35+Analysis!$B35</f>
        <v>12.698594485543623</v>
      </c>
      <c r="O35" s="189">
        <f>'Firing Inaccuracy(Crouching) Ra'!O35+Analysis!$B35</f>
        <v>12.736588615389842</v>
      </c>
      <c r="P35" s="189">
        <f>'Firing Inaccuracy(Crouching) Ra'!P35+Analysis!$B35</f>
        <v>12.75607068874975</v>
      </c>
      <c r="Q35" s="189">
        <f>'Firing Inaccuracy(Crouching) Ra'!Q35+Analysis!$B35</f>
        <v>12.766060420951463</v>
      </c>
      <c r="R35" s="189">
        <f>'Firing Inaccuracy(Crouching) Ra'!R35+Analysis!$B35</f>
        <v>12.771182809499047</v>
      </c>
      <c r="S35" s="189">
        <f>'Firing Inaccuracy(Crouching) Ra'!S35+Analysis!$B35</f>
        <v>12.773809392865106</v>
      </c>
      <c r="T35" s="189">
        <f>'Firing Inaccuracy(Crouching) Ra'!T35+Analysis!$B35</f>
        <v>12.775156213809041</v>
      </c>
      <c r="U35" s="189">
        <f>'Firing Inaccuracy(Crouching) Ra'!U35+Analysis!$B35</f>
        <v>12.775846816924274</v>
      </c>
      <c r="V35" s="189">
        <f>'Firing Inaccuracy(Crouching) Ra'!V35+Analysis!$B35</f>
        <v>12.776200934273666</v>
      </c>
      <c r="W35" s="189">
        <f>'Firing Inaccuracy(Crouching) Ra'!W35+Analysis!$B35</f>
        <v>12.776382513380932</v>
      </c>
      <c r="X35" s="189">
        <f>'Firing Inaccuracy(Crouching) Ra'!X35+Analysis!$B35</f>
        <v>12.776475620855763</v>
      </c>
      <c r="Y35" s="189">
        <f>'Firing Inaccuracy(Crouching) Ra'!Y35+Analysis!$B35</f>
        <v>12.776523363142857</v>
      </c>
      <c r="Z35" s="189">
        <f>'Firing Inaccuracy(Crouching) Ra'!Z35+Analysis!$B35</f>
        <v>12.776547843733498</v>
      </c>
      <c r="AA35" s="189">
        <f>'Firing Inaccuracy(Crouching) Ra'!AA35+Analysis!$B35</f>
        <v>12.776560396532172</v>
      </c>
      <c r="AB35" s="189">
        <f>'Firing Inaccuracy(Crouching) Ra'!AB35+Analysis!$B35</f>
        <v>12.776566833172401</v>
      </c>
      <c r="AC35" s="189">
        <f>'Firing Inaccuracy(Crouching) Ra'!AC35+Analysis!$B35</f>
        <v>12.776570133658494</v>
      </c>
      <c r="AD35" s="189">
        <f>'Firing Inaccuracy(Crouching) Ra'!AD35+Analysis!$B35</f>
        <v>12.776571826033408</v>
      </c>
      <c r="AE35" s="189">
        <f>'Firing Inaccuracy(Crouching) Ra'!AE35+Analysis!$B35</f>
        <v>12.776572693824624</v>
      </c>
      <c r="AF35" s="189">
        <f>'Firing Inaccuracy(Crouching) Ra'!AF35+Analysis!$B35</f>
        <v>12.776573138797893</v>
      </c>
      <c r="AG35" s="189">
        <f>'Firing Inaccuracy(Crouching) Ra'!AG35+Analysis!$B35</f>
        <v>12.776573366964767</v>
      </c>
      <c r="AH35" s="189">
        <f>'Firing Inaccuracy(Crouching) Ra'!AH35+Analysis!$B35</f>
        <v>12.776573483960837</v>
      </c>
      <c r="AI35" s="189">
        <f>'Firing Inaccuracy(Crouching) Ra'!AI35+Analysis!$B35</f>
        <v>12.776573543952367</v>
      </c>
      <c r="AJ35" s="189">
        <f>'Firing Inaccuracy(Crouching) Ra'!AJ35+Analysis!$B35</f>
        <v>12.776573574713943</v>
      </c>
    </row>
    <row r="36" spans="1:36" ht="15.75" customHeight="1" x14ac:dyDescent="0.15">
      <c r="A36" s="39"/>
      <c r="B36" s="101"/>
      <c r="C36" s="43"/>
      <c r="D36" s="192"/>
      <c r="E36" s="193"/>
      <c r="F36" s="194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5.75" customHeight="1" x14ac:dyDescent="0.15">
      <c r="A37" s="1" t="s">
        <v>79</v>
      </c>
      <c r="B37" s="69" t="s">
        <v>95</v>
      </c>
      <c r="C37" s="4" t="s">
        <v>234</v>
      </c>
      <c r="D37" s="7" t="s">
        <v>26</v>
      </c>
      <c r="E37" s="7" t="s">
        <v>237</v>
      </c>
      <c r="F37" s="174"/>
      <c r="G37" s="175">
        <v>1</v>
      </c>
      <c r="H37" s="175">
        <v>2</v>
      </c>
      <c r="I37" s="175">
        <v>3</v>
      </c>
      <c r="J37" s="175">
        <v>4</v>
      </c>
      <c r="K37" s="175">
        <v>5</v>
      </c>
      <c r="L37" s="175">
        <v>6</v>
      </c>
      <c r="M37" s="175">
        <v>7</v>
      </c>
      <c r="N37" s="175">
        <v>8</v>
      </c>
      <c r="O37" s="175">
        <v>9</v>
      </c>
      <c r="P37" s="175">
        <v>10</v>
      </c>
      <c r="Q37" s="175">
        <v>11</v>
      </c>
      <c r="R37" s="175">
        <v>12</v>
      </c>
      <c r="S37" s="175">
        <v>13</v>
      </c>
      <c r="T37" s="175">
        <v>14</v>
      </c>
      <c r="U37" s="175">
        <v>15</v>
      </c>
      <c r="V37" s="175">
        <v>16</v>
      </c>
      <c r="W37" s="175">
        <v>17</v>
      </c>
      <c r="X37" s="175">
        <v>18</v>
      </c>
      <c r="Y37" s="175">
        <v>19</v>
      </c>
      <c r="Z37" s="175">
        <v>20</v>
      </c>
      <c r="AA37" s="175">
        <v>21</v>
      </c>
      <c r="AB37" s="175">
        <v>22</v>
      </c>
      <c r="AC37" s="175">
        <v>23</v>
      </c>
      <c r="AD37" s="175">
        <v>24</v>
      </c>
      <c r="AE37" s="175">
        <v>25</v>
      </c>
      <c r="AF37" s="175">
        <v>26</v>
      </c>
      <c r="AG37" s="175">
        <v>27</v>
      </c>
      <c r="AH37" s="175">
        <v>28</v>
      </c>
      <c r="AI37" s="175">
        <v>29</v>
      </c>
      <c r="AJ37" s="175">
        <v>30</v>
      </c>
    </row>
    <row r="38" spans="1:36" ht="15.75" customHeight="1" x14ac:dyDescent="0.15">
      <c r="A38" s="9" t="s">
        <v>174</v>
      </c>
      <c r="B38" s="83">
        <f>'Raw Values'!F38</f>
        <v>0.08</v>
      </c>
      <c r="C38" s="15">
        <f>'Raw Values'!V38</f>
        <v>3.56</v>
      </c>
      <c r="D38" s="22">
        <f>'Raw Values'!AC38</f>
        <v>0.59209299999999998</v>
      </c>
      <c r="E38" s="33" t="str">
        <f>'Firing Inaccuracy(Crouching) Ra'!E38</f>
        <v>N/A</v>
      </c>
      <c r="F38" s="176"/>
      <c r="G38" s="189">
        <f>'Firing Inaccuracy(Crouching) Ra'!G38+Analysis!$B38</f>
        <v>7.34</v>
      </c>
      <c r="H38" s="189">
        <f>'Firing Inaccuracy(Crouching) Ra'!H38+Analysis!$B38</f>
        <v>9.948171160824673</v>
      </c>
      <c r="I38" s="189">
        <f>'Firing Inaccuracy(Crouching) Ra'!I38+Analysis!$B38</f>
        <v>11.85900172379027</v>
      </c>
      <c r="J38" s="189">
        <f>'Firing Inaccuracy(Crouching) Ra'!J38+Analysis!$B38</f>
        <v>13.25893800680972</v>
      </c>
      <c r="K38" s="189">
        <f>'Firing Inaccuracy(Crouching) Ra'!K38+Analysis!$B38</f>
        <v>14.284576613653376</v>
      </c>
      <c r="L38" s="189">
        <f>'Firing Inaccuracy(Crouching) Ra'!L38+Analysis!$B38</f>
        <v>15.035992634944956</v>
      </c>
      <c r="M38" s="189">
        <f>'Firing Inaccuracy(Crouching) Ra'!M38+Analysis!$B38</f>
        <v>15.586504319359088</v>
      </c>
      <c r="N38" s="189">
        <f>'Firing Inaccuracy(Crouching) Ra'!N38+Analysis!$B38</f>
        <v>15.98982698761357</v>
      </c>
      <c r="O38" s="189">
        <f>'Firing Inaccuracy(Crouching) Ra'!O38+Analysis!$B38</f>
        <v>16.285314221278796</v>
      </c>
      <c r="P38" s="189">
        <f>'Firing Inaccuracy(Crouching) Ra'!P38+Analysis!$B38</f>
        <v>16.501797727244384</v>
      </c>
      <c r="Q38" s="189">
        <f>'Firing Inaccuracy(Crouching) Ra'!Q38+Analysis!$B38</f>
        <v>16.660400546641483</v>
      </c>
      <c r="R38" s="189">
        <f>'Firing Inaccuracy(Crouching) Ra'!R38+Analysis!$B38</f>
        <v>16.776598102702437</v>
      </c>
      <c r="S38" s="189">
        <f>'Firing Inaccuracy(Crouching) Ra'!S38+Analysis!$B38</f>
        <v>16.861728191094706</v>
      </c>
      <c r="T38" s="189">
        <f>'Firing Inaccuracy(Crouching) Ra'!T38+Analysis!$B38</f>
        <v>16.924097247685488</v>
      </c>
      <c r="U38" s="189">
        <f>'Firing Inaccuracy(Crouching) Ra'!U38+Analysis!$B38</f>
        <v>16.969790836092201</v>
      </c>
      <c r="V38" s="189">
        <f>'Firing Inaccuracy(Crouching) Ra'!V38+Analysis!$B38</f>
        <v>17.003267437080122</v>
      </c>
      <c r="W38" s="189">
        <f>'Firing Inaccuracy(Crouching) Ra'!W38+Analysis!$B38</f>
        <v>17.02779347788325</v>
      </c>
      <c r="X38" s="189">
        <f>'Firing Inaccuracy(Crouching) Ra'!X38+Analysis!$B38</f>
        <v>17.045762048757382</v>
      </c>
      <c r="Y38" s="189">
        <f>'Firing Inaccuracy(Crouching) Ra'!Y38+Analysis!$B38</f>
        <v>17.058926405036921</v>
      </c>
      <c r="Z38" s="189">
        <f>'Firing Inaccuracy(Crouching) Ra'!Z38+Analysis!$B38</f>
        <v>17.068571038295097</v>
      </c>
      <c r="AA38" s="189">
        <f>'Firing Inaccuracy(Crouching) Ra'!AA38+Analysis!$B38</f>
        <v>17.075637008609903</v>
      </c>
      <c r="AB38" s="189">
        <f>'Firing Inaccuracy(Crouching) Ra'!AB38+Analysis!$B38</f>
        <v>17.080813767036396</v>
      </c>
      <c r="AC38" s="189">
        <f>'Firing Inaccuracy(Crouching) Ra'!AC38+Analysis!$B38</f>
        <v>17.084606427720257</v>
      </c>
      <c r="AD38" s="189">
        <f>'Firing Inaccuracy(Crouching) Ra'!AD38+Analysis!$B38</f>
        <v>17.08738505362431</v>
      </c>
      <c r="AE38" s="189">
        <f>'Firing Inaccuracy(Crouching) Ra'!AE38+Analysis!$B38</f>
        <v>17.089420764846132</v>
      </c>
      <c r="AF38" s="189">
        <f>'Firing Inaccuracy(Crouching) Ra'!AF38+Analysis!$B38</f>
        <v>17.090912192739534</v>
      </c>
      <c r="AG38" s="189">
        <f>'Firing Inaccuracy(Crouching) Ra'!AG38+Analysis!$B38</f>
        <v>17.092004861059763</v>
      </c>
      <c r="AH38" s="189">
        <f>'Firing Inaccuracy(Crouching) Ra'!AH38+Analysis!$B38</f>
        <v>17.092805385217396</v>
      </c>
      <c r="AI38" s="189">
        <f>'Firing Inaccuracy(Crouching) Ra'!AI38+Analysis!$B38</f>
        <v>17.093391875111074</v>
      </c>
      <c r="AJ38" s="189">
        <f>'Firing Inaccuracy(Crouching) Ra'!AJ38+Analysis!$B38</f>
        <v>17.093821556579275</v>
      </c>
    </row>
    <row r="39" spans="1:36" ht="15.75" customHeight="1" x14ac:dyDescent="0.15">
      <c r="A39" s="9" t="s">
        <v>176</v>
      </c>
      <c r="B39" s="83">
        <f>'Raw Values'!F39</f>
        <v>7.4999999999999997E-2</v>
      </c>
      <c r="C39" s="15">
        <f>'Raw Values'!V39</f>
        <v>30</v>
      </c>
      <c r="D39" s="22">
        <f>'Raw Values'!AC39</f>
        <v>0.25</v>
      </c>
      <c r="E39" s="33">
        <f>'Firing Inaccuracy(Crouching) Ra'!E39</f>
        <v>0.08</v>
      </c>
      <c r="F39" s="176"/>
      <c r="G39" s="189">
        <f>'Firing Inaccuracy(Crouching) Ra'!G39+Analysis!$B39</f>
        <v>9.629999999999999</v>
      </c>
      <c r="H39" s="189">
        <f>'Firing Inaccuracy(Crouching) Ra'!H39+Analysis!$B39</f>
        <v>24.66561700881817</v>
      </c>
      <c r="I39" s="189">
        <f>'Firing Inaccuracy(Crouching) Ra'!I39+Analysis!$B39</f>
        <v>32.201276303346916</v>
      </c>
      <c r="J39" s="189">
        <f>'Firing Inaccuracy(Crouching) Ra'!J39+Analysis!$B39</f>
        <v>35.978052538729415</v>
      </c>
      <c r="K39" s="189">
        <f>'Firing Inaccuracy(Crouching) Ra'!K39+Analysis!$B39</f>
        <v>37.870924572169997</v>
      </c>
      <c r="L39" s="189">
        <f>'Firing Inaccuracy(Crouching) Ra'!L39+Analysis!$B39</f>
        <v>38.819607870220509</v>
      </c>
      <c r="M39" s="189">
        <f>'Firing Inaccuracy(Crouching) Ra'!M39+Analysis!$B39</f>
        <v>39.295075827958847</v>
      </c>
      <c r="N39" s="189">
        <f>'Firing Inaccuracy(Crouching) Ra'!N39+Analysis!$B39</f>
        <v>39.533374298376131</v>
      </c>
      <c r="O39" s="189">
        <f>'Firing Inaccuracy(Crouching) Ra'!O39+Analysis!$B39</f>
        <v>39.652806449542183</v>
      </c>
      <c r="P39" s="189">
        <f>'Firing Inaccuracy(Crouching) Ra'!P39+Analysis!$B39</f>
        <v>39.712664318991244</v>
      </c>
      <c r="Q39" s="189">
        <f>'Firing Inaccuracy(Crouching) Ra'!Q39+Analysis!$B39</f>
        <v>34.223375930270606</v>
      </c>
      <c r="R39" s="189">
        <f>'Firing Inaccuracy(Crouching) Ra'!R39+Analysis!$B39</f>
        <v>25.059770380348738</v>
      </c>
      <c r="S39" s="189">
        <f>'Firing Inaccuracy(Crouching) Ra'!S39+Analysis!$B39</f>
        <v>14.876148040380546</v>
      </c>
      <c r="T39" s="189">
        <f>'Firing Inaccuracy(Crouching) Ra'!T39+Analysis!$B39</f>
        <v>13.700161678672909</v>
      </c>
      <c r="U39" s="189">
        <f>'Firing Inaccuracy(Crouching) Ra'!U39+Analysis!$B39</f>
        <v>13.564360892198863</v>
      </c>
      <c r="V39" s="189">
        <f>'Firing Inaccuracy(Crouching) Ra'!V39+Analysis!$B39</f>
        <v>13.548678862026172</v>
      </c>
      <c r="W39" s="189">
        <f>'Firing Inaccuracy(Crouching) Ra'!W39+Analysis!$B39</f>
        <v>13.546867929433496</v>
      </c>
      <c r="X39" s="189">
        <f>'Firing Inaccuracy(Crouching) Ra'!X39+Analysis!$B39</f>
        <v>13.546658806200144</v>
      </c>
      <c r="Y39" s="189">
        <f>'Firing Inaccuracy(Crouching) Ra'!Y39+Analysis!$B39</f>
        <v>13.5466346570259</v>
      </c>
      <c r="Z39" s="189">
        <f>'Firing Inaccuracy(Crouching) Ra'!Z39+Analysis!$B39</f>
        <v>13.546631868322763</v>
      </c>
      <c r="AA39" s="189">
        <f>'Firing Inaccuracy(Crouching) Ra'!AA39+Analysis!$B39</f>
        <v>13.546631546288349</v>
      </c>
      <c r="AB39" s="189">
        <f>'Firing Inaccuracy(Crouching) Ra'!AB39+Analysis!$B39</f>
        <v>13.546631509100393</v>
      </c>
      <c r="AC39" s="189">
        <f>'Firing Inaccuracy(Crouching) Ra'!AC39+Analysis!$B39</f>
        <v>13.546631504805998</v>
      </c>
      <c r="AD39" s="189">
        <f>'Firing Inaccuracy(Crouching) Ra'!AD39+Analysis!$B39</f>
        <v>13.546631504310087</v>
      </c>
      <c r="AE39" s="189">
        <f>'Firing Inaccuracy(Crouching) Ra'!AE39+Analysis!$B39</f>
        <v>13.54663150425282</v>
      </c>
      <c r="AF39" s="189">
        <f>'Firing Inaccuracy(Crouching) Ra'!AF39+Analysis!$B39</f>
        <v>13.546631504246207</v>
      </c>
      <c r="AG39" s="189">
        <f>'Firing Inaccuracy(Crouching) Ra'!AG39+Analysis!$B39</f>
        <v>13.546631504245443</v>
      </c>
      <c r="AH39" s="189">
        <f>'Firing Inaccuracy(Crouching) Ra'!AH39+Analysis!$B39</f>
        <v>13.546631504245354</v>
      </c>
      <c r="AI39" s="189">
        <f>'Firing Inaccuracy(Crouching) Ra'!AI39+Analysis!$B39</f>
        <v>13.546631504245346</v>
      </c>
      <c r="AJ39" s="189">
        <f>'Firing Inaccuracy(Crouching) Ra'!AJ39+Analysis!$B39</f>
        <v>13.546631504245344</v>
      </c>
    </row>
    <row r="40" spans="1:36" ht="15.75" customHeight="1" x14ac:dyDescent="0.15">
      <c r="A40" s="39"/>
      <c r="B40" s="101"/>
      <c r="C40" s="43"/>
      <c r="D40" s="192"/>
      <c r="E40" s="193"/>
      <c r="F40" s="194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</row>
    <row r="41" spans="1:36" ht="15.75" customHeight="1" x14ac:dyDescent="0.15">
      <c r="A41" s="1" t="s">
        <v>82</v>
      </c>
      <c r="B41" s="69" t="s">
        <v>95</v>
      </c>
      <c r="C41" s="4" t="s">
        <v>234</v>
      </c>
      <c r="D41" s="7" t="s">
        <v>26</v>
      </c>
      <c r="E41" s="7" t="s">
        <v>237</v>
      </c>
      <c r="F41" s="174"/>
      <c r="G41" s="175">
        <v>1</v>
      </c>
      <c r="H41" s="175">
        <v>2</v>
      </c>
      <c r="I41" s="175">
        <v>3</v>
      </c>
      <c r="J41" s="175">
        <v>4</v>
      </c>
      <c r="K41" s="175">
        <v>5</v>
      </c>
      <c r="L41" s="175">
        <v>6</v>
      </c>
      <c r="M41" s="175">
        <v>7</v>
      </c>
      <c r="N41" s="175">
        <v>8</v>
      </c>
      <c r="O41" s="175">
        <v>9</v>
      </c>
      <c r="P41" s="175">
        <v>10</v>
      </c>
      <c r="Q41" s="175">
        <v>11</v>
      </c>
      <c r="R41" s="175">
        <v>12</v>
      </c>
      <c r="S41" s="175">
        <v>13</v>
      </c>
      <c r="T41" s="175">
        <v>14</v>
      </c>
      <c r="U41" s="175">
        <v>15</v>
      </c>
      <c r="V41" s="175">
        <v>16</v>
      </c>
      <c r="W41" s="175">
        <v>17</v>
      </c>
      <c r="X41" s="175">
        <v>18</v>
      </c>
      <c r="Y41" s="175">
        <v>19</v>
      </c>
      <c r="Z41" s="175">
        <v>20</v>
      </c>
      <c r="AA41" s="181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spans="1:36" ht="15.75" customHeight="1" x14ac:dyDescent="0.15">
      <c r="A42" s="9" t="s">
        <v>177</v>
      </c>
      <c r="B42" s="83">
        <f>'Raw Values'!F42</f>
        <v>1.4550000000000001</v>
      </c>
      <c r="C42" s="15">
        <f>'Raw Values'!V42</f>
        <v>53.85</v>
      </c>
      <c r="D42" s="22">
        <f>'Raw Values'!AC42</f>
        <v>0.24671000000000001</v>
      </c>
      <c r="E42" s="33" t="str">
        <f>'Firing Inaccuracy(Crouching) Ra'!E42</f>
        <v>N/A</v>
      </c>
      <c r="F42" s="176"/>
      <c r="G42" s="189">
        <f>'Firing Inaccuracy(Crouching) Ra'!G42+Analysis!$B42</f>
        <v>1.7</v>
      </c>
      <c r="H42" s="189">
        <f>'Firing Inaccuracy(Crouching) Ra'!H42+Analysis!$B42</f>
        <v>1.7000681668343682</v>
      </c>
      <c r="I42" s="189">
        <f>'Firing Inaccuracy(Crouching) Ra'!I42+Analysis!$B42</f>
        <v>1.7000681669206581</v>
      </c>
      <c r="J42" s="189">
        <f>'Firing Inaccuracy(Crouching) Ra'!J42+Analysis!$B42</f>
        <v>1.7000681669206583</v>
      </c>
      <c r="K42" s="189">
        <f>'Firing Inaccuracy(Crouching) Ra'!K42+Analysis!$B42</f>
        <v>1.7000681669206583</v>
      </c>
      <c r="L42" s="189">
        <f>'Firing Inaccuracy(Crouching) Ra'!L42+Analysis!$B42</f>
        <v>1.7000681669206583</v>
      </c>
      <c r="M42" s="189">
        <f>'Firing Inaccuracy(Crouching) Ra'!M42+Analysis!$B42</f>
        <v>1.7000681669206583</v>
      </c>
      <c r="N42" s="189">
        <f>'Firing Inaccuracy(Crouching) Ra'!N42+Analysis!$B42</f>
        <v>1.7000681669206583</v>
      </c>
      <c r="O42" s="189">
        <f>'Firing Inaccuracy(Crouching) Ra'!O42+Analysis!$B42</f>
        <v>1.7000681669206583</v>
      </c>
      <c r="P42" s="189">
        <f>'Firing Inaccuracy(Crouching) Ra'!P42+Analysis!$B42</f>
        <v>1.7000681669206583</v>
      </c>
      <c r="Q42" s="114"/>
      <c r="R42" s="114"/>
      <c r="S42" s="114"/>
      <c r="T42" s="114"/>
      <c r="U42" s="114"/>
      <c r="V42" s="114"/>
      <c r="W42" s="114"/>
      <c r="X42" s="114"/>
      <c r="Y42" s="114"/>
      <c r="Z42" s="2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</row>
    <row r="43" spans="1:36" ht="15.75" customHeight="1" x14ac:dyDescent="0.15">
      <c r="A43" s="36" t="s">
        <v>179</v>
      </c>
      <c r="B43" s="83">
        <f>'Raw Values'!F43</f>
        <v>0.25</v>
      </c>
      <c r="C43" s="15">
        <f>'Raw Values'!V43</f>
        <v>18.61</v>
      </c>
      <c r="D43" s="22">
        <f>'Raw Values'!AC43</f>
        <v>0.38880799999999999</v>
      </c>
      <c r="E43" s="33" t="str">
        <f>'Firing Inaccuracy(Crouching) Ra'!E43</f>
        <v>N/A</v>
      </c>
      <c r="F43" s="176"/>
      <c r="G43" s="189">
        <f>'Firing Inaccuracy(Crouching) Ra'!G43+Analysis!$B43</f>
        <v>1.8</v>
      </c>
      <c r="H43" s="189">
        <f>'Firing Inaccuracy(Crouching) Ra'!H43+Analysis!$B43</f>
        <v>6.0340451825199573</v>
      </c>
      <c r="I43" s="189">
        <f>'Firing Inaccuracy(Crouching) Ra'!I43+Analysis!$B43</f>
        <v>6.9973519319890842</v>
      </c>
      <c r="J43" s="189">
        <f>'Firing Inaccuracy(Crouching) Ra'!J43+Analysis!$B43</f>
        <v>7.2165182029121748</v>
      </c>
      <c r="K43" s="189">
        <f>'Firing Inaccuracy(Crouching) Ra'!K43+Analysis!$B43</f>
        <v>7.2663817114330129</v>
      </c>
      <c r="L43" s="189">
        <f>'Firing Inaccuracy(Crouching) Ra'!L43+Analysis!$B43</f>
        <v>7.2777263835467254</v>
      </c>
      <c r="M43" s="189">
        <f>'Firing Inaccuracy(Crouching) Ra'!M43+Analysis!$B43</f>
        <v>7.2803074611560925</v>
      </c>
      <c r="N43" s="189">
        <f>'Firing Inaccuracy(Crouching) Ra'!N43+Analysis!$B43</f>
        <v>7.2808946937846617</v>
      </c>
      <c r="O43" s="189">
        <f>'Firing Inaccuracy(Crouching) Ra'!O43+Analysis!$B43</f>
        <v>7.2810282977331839</v>
      </c>
      <c r="P43" s="189">
        <f>'Firing Inaccuracy(Crouching) Ra'!P43+Analysis!$B43</f>
        <v>7.2810586945711524</v>
      </c>
      <c r="Q43" s="189">
        <f>'Firing Inaccuracy(Crouching) Ra'!Q43+Analysis!$B43</f>
        <v>7.2810656102930968</v>
      </c>
      <c r="R43" s="189">
        <f>'Firing Inaccuracy(Crouching) Ra'!R43+Analysis!$B43</f>
        <v>7.2810671837202419</v>
      </c>
      <c r="S43" s="189">
        <f>'Firing Inaccuracy(Crouching) Ra'!S43+Analysis!$B43</f>
        <v>7.2810675416977606</v>
      </c>
      <c r="T43" s="189">
        <f>'Firing Inaccuracy(Crouching) Ra'!T43+Analysis!$B43</f>
        <v>7.2810676231428442</v>
      </c>
      <c r="U43" s="189">
        <f>'Firing Inaccuracy(Crouching) Ra'!U43+Analysis!$B43</f>
        <v>7.2810676416727826</v>
      </c>
      <c r="V43" s="189">
        <f>'Firing Inaccuracy(Crouching) Ra'!V43+Analysis!$B43</f>
        <v>7.281067645888613</v>
      </c>
      <c r="W43" s="189">
        <f>'Firing Inaccuracy(Crouching) Ra'!W43+Analysis!$B43</f>
        <v>7.2810676468477755</v>
      </c>
      <c r="X43" s="189">
        <f>'Firing Inaccuracy(Crouching) Ra'!X43+Analysis!$B43</f>
        <v>7.2810676470659992</v>
      </c>
      <c r="Y43" s="189">
        <f>'Firing Inaccuracy(Crouching) Ra'!Y43+Analysis!$B43</f>
        <v>7.2810676471156475</v>
      </c>
      <c r="Z43" s="189">
        <f>'Firing Inaccuracy(Crouching) Ra'!Z43+Analysis!$B43</f>
        <v>7.2810676471269433</v>
      </c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</row>
    <row r="44" spans="1:36" ht="15.75" customHeight="1" x14ac:dyDescent="0.15">
      <c r="A44" s="35" t="s">
        <v>180</v>
      </c>
      <c r="B44" s="83">
        <f>'Raw Values'!F44</f>
        <v>0.25</v>
      </c>
      <c r="C44" s="15">
        <f>'Raw Values'!V44</f>
        <v>18.61</v>
      </c>
      <c r="D44" s="22">
        <f>'Raw Values'!AC44</f>
        <v>0.38880799999999999</v>
      </c>
      <c r="E44" s="33" t="str">
        <f>'Firing Inaccuracy(Crouching) Ra'!E44</f>
        <v>N/A</v>
      </c>
      <c r="F44" s="176"/>
      <c r="G44" s="189">
        <f>'Firing Inaccuracy(Crouching) Ra'!G44+Analysis!$B44</f>
        <v>1.8</v>
      </c>
      <c r="H44" s="189">
        <f>'Firing Inaccuracy(Crouching) Ra'!H44+Analysis!$B44</f>
        <v>6.0340451825199573</v>
      </c>
      <c r="I44" s="189">
        <f>'Firing Inaccuracy(Crouching) Ra'!I44+Analysis!$B44</f>
        <v>6.9973519319890842</v>
      </c>
      <c r="J44" s="189">
        <f>'Firing Inaccuracy(Crouching) Ra'!J44+Analysis!$B44</f>
        <v>7.2165182029121748</v>
      </c>
      <c r="K44" s="189">
        <f>'Firing Inaccuracy(Crouching) Ra'!K44+Analysis!$B44</f>
        <v>7.2663817114330129</v>
      </c>
      <c r="L44" s="189">
        <f>'Firing Inaccuracy(Crouching) Ra'!L44+Analysis!$B44</f>
        <v>7.2777263835467254</v>
      </c>
      <c r="M44" s="189">
        <f>'Firing Inaccuracy(Crouching) Ra'!M44+Analysis!$B44</f>
        <v>7.2803074611560925</v>
      </c>
      <c r="N44" s="189">
        <f>'Firing Inaccuracy(Crouching) Ra'!N44+Analysis!$B44</f>
        <v>7.2808946937846617</v>
      </c>
      <c r="O44" s="189">
        <f>'Firing Inaccuracy(Crouching) Ra'!O44+Analysis!$B44</f>
        <v>7.2810282977331839</v>
      </c>
      <c r="P44" s="189">
        <f>'Firing Inaccuracy(Crouching) Ra'!P44+Analysis!$B44</f>
        <v>7.2810586945711524</v>
      </c>
      <c r="Q44" s="189">
        <f>'Firing Inaccuracy(Crouching) Ra'!Q44+Analysis!$B44</f>
        <v>7.2810656102930968</v>
      </c>
      <c r="R44" s="189">
        <f>'Firing Inaccuracy(Crouching) Ra'!R44+Analysis!$B44</f>
        <v>7.2810671837202419</v>
      </c>
      <c r="S44" s="189">
        <f>'Firing Inaccuracy(Crouching) Ra'!S44+Analysis!$B44</f>
        <v>7.2810675416977606</v>
      </c>
      <c r="T44" s="189">
        <f>'Firing Inaccuracy(Crouching) Ra'!T44+Analysis!$B44</f>
        <v>7.2810676231428442</v>
      </c>
      <c r="U44" s="189">
        <f>'Firing Inaccuracy(Crouching) Ra'!U44+Analysis!$B44</f>
        <v>7.2810676416727826</v>
      </c>
      <c r="V44" s="189">
        <f>'Firing Inaccuracy(Crouching) Ra'!V44+Analysis!$B44</f>
        <v>7.281067645888613</v>
      </c>
      <c r="W44" s="189">
        <f>'Firing Inaccuracy(Crouching) Ra'!W44+Analysis!$B44</f>
        <v>7.2810676468477755</v>
      </c>
      <c r="X44" s="189">
        <f>'Firing Inaccuracy(Crouching) Ra'!X44+Analysis!$B44</f>
        <v>7.2810676470659992</v>
      </c>
      <c r="Y44" s="189">
        <f>'Firing Inaccuracy(Crouching) Ra'!Y44+Analysis!$B44</f>
        <v>7.2810676471156475</v>
      </c>
      <c r="Z44" s="189">
        <f>'Firing Inaccuracy(Crouching) Ra'!Z44+Analysis!$B44</f>
        <v>7.2810676471269433</v>
      </c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</row>
    <row r="45" spans="1:36" ht="15.75" customHeight="1" x14ac:dyDescent="0.15">
      <c r="A45" s="9" t="s">
        <v>181</v>
      </c>
      <c r="B45" s="83">
        <f>'Raw Values'!F45</f>
        <v>1.25</v>
      </c>
      <c r="C45" s="15">
        <f>'Raw Values'!V45</f>
        <v>22.92</v>
      </c>
      <c r="D45" s="22">
        <f>'Raw Values'!AC45</f>
        <v>5.5782999999999999E-2</v>
      </c>
      <c r="E45" s="33" t="str">
        <f>'Firing Inaccuracy(Crouching) Ra'!E45</f>
        <v>N/A</v>
      </c>
      <c r="F45" s="176"/>
      <c r="G45" s="189">
        <f>'Firing Inaccuracy(Crouching) Ra'!G45+Analysis!$B45</f>
        <v>3.03</v>
      </c>
      <c r="H45" s="189">
        <f>'Firing Inaccuracy(Crouching) Ra'!H45+Analysis!$B45</f>
        <v>3.03</v>
      </c>
      <c r="I45" s="189">
        <f>'Firing Inaccuracy(Crouching) Ra'!I45+Analysis!$B45</f>
        <v>3.03</v>
      </c>
      <c r="J45" s="189">
        <f>'Firing Inaccuracy(Crouching) Ra'!J45+Analysis!$B45</f>
        <v>3.03</v>
      </c>
      <c r="K45" s="189">
        <f>'Firing Inaccuracy(Crouching) Ra'!K45+Analysis!$B45</f>
        <v>3.03</v>
      </c>
      <c r="L45" s="189">
        <f>'Firing Inaccuracy(Crouching) Ra'!L45+Analysis!$B45</f>
        <v>3.03</v>
      </c>
      <c r="M45" s="189">
        <f>'Firing Inaccuracy(Crouching) Ra'!M45+Analysis!$B45</f>
        <v>3.03</v>
      </c>
      <c r="N45" s="189">
        <f>'Firing Inaccuracy(Crouching) Ra'!N45+Analysis!$B45</f>
        <v>3.03</v>
      </c>
      <c r="O45" s="189">
        <f>'Firing Inaccuracy(Crouching) Ra'!O45+Analysis!$B45</f>
        <v>3.03</v>
      </c>
      <c r="P45" s="189">
        <f>'Firing Inaccuracy(Crouching) Ra'!P45+Analysis!$B45</f>
        <v>3.03</v>
      </c>
      <c r="Q45" s="114"/>
      <c r="R45" s="114"/>
      <c r="S45" s="114"/>
      <c r="T45" s="114"/>
      <c r="U45" s="114"/>
      <c r="V45" s="114"/>
      <c r="W45" s="114"/>
      <c r="X45" s="114"/>
      <c r="Y45" s="114"/>
      <c r="Z45" s="2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4" width="11.6640625" customWidth="1"/>
    <col min="5" max="5" width="4.5" customWidth="1"/>
    <col min="6" max="20" width="11.6640625" customWidth="1"/>
  </cols>
  <sheetData>
    <row r="1" spans="1:20" ht="15.75" customHeight="1" x14ac:dyDescent="0.15">
      <c r="A1" s="1" t="s">
        <v>0</v>
      </c>
      <c r="B1" s="196" t="s">
        <v>238</v>
      </c>
      <c r="C1" s="4" t="s">
        <v>234</v>
      </c>
      <c r="D1" s="7" t="s">
        <v>27</v>
      </c>
      <c r="E1" s="174"/>
      <c r="F1" s="175">
        <v>1</v>
      </c>
      <c r="G1" s="175">
        <v>2</v>
      </c>
      <c r="H1" s="175">
        <v>3</v>
      </c>
      <c r="I1" s="175">
        <v>4</v>
      </c>
      <c r="J1" s="175">
        <v>5</v>
      </c>
      <c r="K1" s="175">
        <v>6</v>
      </c>
      <c r="L1" s="175">
        <v>7</v>
      </c>
      <c r="M1" s="175">
        <v>8</v>
      </c>
      <c r="N1" s="175">
        <v>9</v>
      </c>
      <c r="O1" s="175">
        <v>10</v>
      </c>
      <c r="P1" s="175">
        <v>11</v>
      </c>
      <c r="Q1" s="175">
        <v>12</v>
      </c>
      <c r="R1" s="175">
        <v>13</v>
      </c>
      <c r="S1" s="175">
        <v>14</v>
      </c>
      <c r="T1" s="175">
        <v>15</v>
      </c>
    </row>
    <row r="2" spans="1:20" ht="15.75" customHeight="1" x14ac:dyDescent="0.15">
      <c r="A2" s="9" t="s">
        <v>142</v>
      </c>
      <c r="B2" s="89">
        <f>'Firing Inaccuracy(Tapping) Raw'!B2</f>
        <v>0.55000000000000004</v>
      </c>
      <c r="C2" s="15">
        <f>'Raw Values'!V2</f>
        <v>72.23</v>
      </c>
      <c r="D2" s="22">
        <f>'Raw Values'!AE2</f>
        <v>0.81120000000000003</v>
      </c>
      <c r="E2" s="176"/>
      <c r="F2" s="38">
        <f>'Firing Inaccuracy(Tapping) Raw'!F2+Analysis!$C2</f>
        <v>6.2</v>
      </c>
      <c r="G2" s="38">
        <f>'Firing Inaccuracy(Tapping) Raw'!G2+Analysis!$C2</f>
        <v>21.360367368343805</v>
      </c>
      <c r="H2" s="38">
        <f>'Firing Inaccuracy(Tapping) Raw'!H2+Analysis!$C2</f>
        <v>24.542379534246386</v>
      </c>
      <c r="I2" s="38">
        <f>'Firing Inaccuracy(Tapping) Raw'!I2+Analysis!$C2</f>
        <v>25.210252625837452</v>
      </c>
      <c r="J2" s="38">
        <f>'Firing Inaccuracy(Tapping) Raw'!J2+Analysis!$C2</f>
        <v>25.350432626169059</v>
      </c>
      <c r="K2" s="38">
        <f>'Firing Inaccuracy(Tapping) Raw'!K2+Analysis!$C2</f>
        <v>25.379855031024686</v>
      </c>
      <c r="L2" s="38">
        <f>'Firing Inaccuracy(Tapping) Raw'!L2+Analysis!$C2</f>
        <v>25.386030504740198</v>
      </c>
      <c r="M2" s="85"/>
      <c r="N2" s="85"/>
      <c r="O2" s="85"/>
      <c r="P2" s="85"/>
      <c r="Q2" s="85"/>
      <c r="R2" s="85"/>
      <c r="S2" s="85"/>
      <c r="T2" s="85"/>
    </row>
    <row r="3" spans="1:20" ht="15.75" customHeight="1" x14ac:dyDescent="0.15">
      <c r="A3" s="9" t="s">
        <v>144</v>
      </c>
      <c r="B3" s="89">
        <f>'Firing Inaccuracy(Tapping) Raw'!B3</f>
        <v>0.55000000000000004</v>
      </c>
      <c r="C3" s="15">
        <f>'Raw Values'!V3</f>
        <v>50</v>
      </c>
      <c r="D3" s="22">
        <f>'Raw Values'!AE3</f>
        <v>0.9</v>
      </c>
      <c r="E3" s="176"/>
      <c r="F3" s="38">
        <f>'Firing Inaccuracy(Tapping) Raw'!F3+Analysis!$C3</f>
        <v>2.52</v>
      </c>
      <c r="G3" s="38">
        <f>'Firing Inaccuracy(Tapping) Raw'!G3+Analysis!$C3</f>
        <v>14.762183734111133</v>
      </c>
      <c r="H3" s="38">
        <f>'Firing Inaccuracy(Tapping) Raw'!H3+Analysis!$C3</f>
        <v>17.759604985705838</v>
      </c>
      <c r="I3" s="38">
        <f>'Firing Inaccuracy(Tapping) Raw'!I3+Analysis!$C3</f>
        <v>18.493504619516873</v>
      </c>
      <c r="J3" s="38">
        <f>'Firing Inaccuracy(Tapping) Raw'!J3+Analysis!$C3</f>
        <v>18.673195302707104</v>
      </c>
      <c r="K3" s="38">
        <f>'Firing Inaccuracy(Tapping) Raw'!K3+Analysis!$C3</f>
        <v>18.71719142988556</v>
      </c>
      <c r="L3" s="38">
        <f>'Firing Inaccuracy(Tapping) Raw'!L3+Analysis!$C3</f>
        <v>18.72796360333572</v>
      </c>
      <c r="M3" s="38">
        <f>'Firing Inaccuracy(Tapping) Raw'!M3+Analysis!$C3</f>
        <v>18.730601101867567</v>
      </c>
      <c r="N3" s="85"/>
      <c r="O3" s="85"/>
      <c r="P3" s="85"/>
      <c r="Q3" s="85"/>
      <c r="R3" s="85"/>
      <c r="S3" s="85"/>
      <c r="T3" s="85"/>
    </row>
    <row r="4" spans="1:20" ht="15.75" customHeight="1" x14ac:dyDescent="0.15">
      <c r="A4" s="9" t="s">
        <v>145</v>
      </c>
      <c r="B4" s="89">
        <f>'Firing Inaccuracy(Tapping) Raw'!B4</f>
        <v>0.55000000000000004</v>
      </c>
      <c r="C4" s="15">
        <f>'Raw Values'!V4</f>
        <v>11.16</v>
      </c>
      <c r="D4" s="22">
        <f>'Raw Values'!AE4</f>
        <v>0.52498900000000004</v>
      </c>
      <c r="E4" s="176"/>
      <c r="F4" s="38">
        <f>'Firing Inaccuracy(Tapping) Raw'!F4+Analysis!$C4</f>
        <v>9</v>
      </c>
      <c r="G4" s="38">
        <f>'Firing Inaccuracy(Tapping) Raw'!G4+Analysis!$C4</f>
        <v>10.000053413132505</v>
      </c>
      <c r="H4" s="38">
        <f>'Firing Inaccuracy(Tapping) Raw'!H4+Analysis!$C4</f>
        <v>10.161357137113148</v>
      </c>
      <c r="I4" s="38">
        <f>'Firing Inaccuracy(Tapping) Raw'!I4+Analysis!$C4</f>
        <v>10.104123231128543</v>
      </c>
      <c r="J4" s="38">
        <f>'Firing Inaccuracy(Tapping) Raw'!J4+Analysis!$C4</f>
        <v>10.170682887712701</v>
      </c>
      <c r="K4" s="38">
        <f>'Firing Inaccuracy(Tapping) Raw'!K4+Analysis!$C4</f>
        <v>10.104958916497459</v>
      </c>
      <c r="L4" s="38">
        <f>'Firing Inaccuracy(Tapping) Raw'!L4+Analysis!$C4</f>
        <v>10.170757773913909</v>
      </c>
      <c r="M4" s="38">
        <f>'Firing Inaccuracy(Tapping) Raw'!M4+Analysis!$C4</f>
        <v>10.104965627088959</v>
      </c>
      <c r="N4" s="38">
        <f>'Firing Inaccuracy(Tapping) Raw'!N4+Analysis!$C4</f>
        <v>10.170758375253509</v>
      </c>
      <c r="O4" s="38">
        <f>'Firing Inaccuracy(Tapping) Raw'!O4+Analysis!$C4</f>
        <v>10.104965680975312</v>
      </c>
      <c r="P4" s="38">
        <f>'Firing Inaccuracy(Tapping) Raw'!P4+Analysis!$C4</f>
        <v>10.170758380082294</v>
      </c>
      <c r="Q4" s="38">
        <f>'Firing Inaccuracy(Tapping) Raw'!Q4+Analysis!$C4</f>
        <v>10.104965681408022</v>
      </c>
      <c r="R4" s="38">
        <f>'Firing Inaccuracy(Tapping) Raw'!R4+Analysis!$C4</f>
        <v>10.170758380121068</v>
      </c>
      <c r="S4" s="38">
        <f>'Firing Inaccuracy(Tapping) Raw'!S4+Analysis!$C4</f>
        <v>10.104965681411498</v>
      </c>
      <c r="T4" s="38">
        <f>'Firing Inaccuracy(Tapping) Raw'!T4+Analysis!$C4</f>
        <v>10.170758380121381</v>
      </c>
    </row>
    <row r="5" spans="1:20" ht="15.75" customHeight="1" x14ac:dyDescent="0.15">
      <c r="A5" s="35" t="s">
        <v>146</v>
      </c>
      <c r="B5" s="89">
        <f>'Firing Inaccuracy(Tapping) Raw'!B5</f>
        <v>0.55000000000000004</v>
      </c>
      <c r="C5" s="15">
        <f>'Raw Values'!V5</f>
        <v>25</v>
      </c>
      <c r="D5" s="22">
        <f>'Raw Values'!AE5</f>
        <v>0.2</v>
      </c>
      <c r="E5" s="176"/>
      <c r="F5" s="38">
        <f>'Firing Inaccuracy(Tapping) Raw'!F5+Analysis!$C5</f>
        <v>11.1</v>
      </c>
      <c r="G5" s="38">
        <f>'Firing Inaccuracy(Tapping) Raw'!G5+Analysis!$C5</f>
        <v>11.144456985250972</v>
      </c>
      <c r="H5" s="38">
        <f>'Firing Inaccuracy(Tapping) Raw'!H5+Analysis!$C5</f>
        <v>11.144536042192478</v>
      </c>
      <c r="I5" s="38">
        <f>'Firing Inaccuracy(Tapping) Raw'!I5+Analysis!$C5</f>
        <v>11.144536182777808</v>
      </c>
      <c r="J5" s="38">
        <f>'Firing Inaccuracy(Tapping) Raw'!J5+Analysis!$C5</f>
        <v>11.144536183027808</v>
      </c>
      <c r="K5" s="38">
        <f>'Firing Inaccuracy(Tapping) Raw'!K5+Analysis!$C5</f>
        <v>11.144536183028253</v>
      </c>
      <c r="L5" s="38">
        <f>'Firing Inaccuracy(Tapping) Raw'!L5+Analysis!$C5</f>
        <v>11.144536183028254</v>
      </c>
      <c r="M5" s="38">
        <f>'Firing Inaccuracy(Tapping) Raw'!M5+Analysis!$C5</f>
        <v>11.144536183028254</v>
      </c>
      <c r="N5" s="38">
        <f>'Firing Inaccuracy(Tapping) Raw'!N5+Analysis!$C5</f>
        <v>11.144536183028254</v>
      </c>
      <c r="O5" s="38">
        <f>'Firing Inaccuracy(Tapping) Raw'!O5+Analysis!$C5</f>
        <v>11.144536183028254</v>
      </c>
      <c r="P5" s="38">
        <f>'Firing Inaccuracy(Tapping) Raw'!P5+Analysis!$C5</f>
        <v>11.144536183028254</v>
      </c>
      <c r="Q5" s="38">
        <f>'Firing Inaccuracy(Tapping) Raw'!Q5+Analysis!$C5</f>
        <v>11.144536183028254</v>
      </c>
      <c r="R5" s="38">
        <f>'Firing Inaccuracy(Tapping) Raw'!R5+Analysis!$C5</f>
        <v>11.144536183028254</v>
      </c>
      <c r="S5" s="38">
        <f>'Firing Inaccuracy(Tapping) Raw'!S5+Analysis!$C5</f>
        <v>11.144536183028254</v>
      </c>
      <c r="T5" s="38">
        <f>'Firing Inaccuracy(Tapping) Raw'!T5+Analysis!$C5</f>
        <v>11.144536183028254</v>
      </c>
    </row>
    <row r="6" spans="1:20" ht="15.75" customHeight="1" x14ac:dyDescent="0.15">
      <c r="A6" s="36" t="s">
        <v>147</v>
      </c>
      <c r="B6" s="89">
        <f>'Firing Inaccuracy(Tapping) Raw'!B6</f>
        <v>0.55000000000000004</v>
      </c>
      <c r="C6" s="15">
        <f>'Raw Values'!V6</f>
        <v>56</v>
      </c>
      <c r="D6" s="22">
        <f>'Raw Values'!AE6</f>
        <v>0.2</v>
      </c>
      <c r="E6" s="176"/>
      <c r="F6" s="38">
        <f>'Firing Inaccuracy(Tapping) Raw'!F6+Analysis!$C6</f>
        <v>7.6</v>
      </c>
      <c r="G6" s="38">
        <f>'Firing Inaccuracy(Tapping) Raw'!G6+Analysis!$C6</f>
        <v>7.6995836469621795</v>
      </c>
      <c r="H6" s="38">
        <f>'Firing Inaccuracy(Tapping) Raw'!H6+Analysis!$C6</f>
        <v>7.6997607345111492</v>
      </c>
      <c r="I6" s="38">
        <f>'Firing Inaccuracy(Tapping) Raw'!I6+Analysis!$C6</f>
        <v>7.6997610494222908</v>
      </c>
      <c r="J6" s="38">
        <f>'Firing Inaccuracy(Tapping) Raw'!J6+Analysis!$C6</f>
        <v>7.6997610499822908</v>
      </c>
      <c r="K6" s="38">
        <f>'Firing Inaccuracy(Tapping) Raw'!K6+Analysis!$C6</f>
        <v>7.6997610499832865</v>
      </c>
      <c r="L6" s="38">
        <f>'Firing Inaccuracy(Tapping) Raw'!L6+Analysis!$C6</f>
        <v>7.6997610499832883</v>
      </c>
      <c r="M6" s="38">
        <f>'Firing Inaccuracy(Tapping) Raw'!M6+Analysis!$C6</f>
        <v>7.6997610499832883</v>
      </c>
      <c r="N6" s="38">
        <f>'Firing Inaccuracy(Tapping) Raw'!N6+Analysis!$C6</f>
        <v>7.6997610499832883</v>
      </c>
      <c r="O6" s="38">
        <f>'Firing Inaccuracy(Tapping) Raw'!O6+Analysis!$C6</f>
        <v>7.6997610499832883</v>
      </c>
      <c r="P6" s="38">
        <f>'Firing Inaccuracy(Tapping) Raw'!P6+Analysis!$C6</f>
        <v>7.6997610499832883</v>
      </c>
      <c r="Q6" s="38">
        <f>'Firing Inaccuracy(Tapping) Raw'!Q6+Analysis!$C6</f>
        <v>7.6997610499832883</v>
      </c>
      <c r="R6" s="38">
        <f>'Firing Inaccuracy(Tapping) Raw'!R6+Analysis!$C6</f>
        <v>7.6997610499832883</v>
      </c>
      <c r="S6" s="38">
        <f>'Firing Inaccuracy(Tapping) Raw'!S6+Analysis!$C6</f>
        <v>7.6997610499832883</v>
      </c>
      <c r="T6" s="38">
        <f>'Firing Inaccuracy(Tapping) Raw'!T6+Analysis!$C6</f>
        <v>7.6997610499832883</v>
      </c>
    </row>
    <row r="7" spans="1:20" ht="15.75" customHeight="1" x14ac:dyDescent="0.15">
      <c r="A7" s="35" t="s">
        <v>148</v>
      </c>
      <c r="B7" s="89">
        <f>'Firing Inaccuracy(Tapping) Raw'!B7</f>
        <v>0.55000000000000004</v>
      </c>
      <c r="C7" s="15">
        <f>'Raw Values'!V7</f>
        <v>50</v>
      </c>
      <c r="D7" s="22">
        <f>'Raw Values'!AE7</f>
        <v>0.34953200000000001</v>
      </c>
      <c r="E7" s="176"/>
      <c r="F7" s="38">
        <f>'Firing Inaccuracy(Tapping) Raw'!F7+Analysis!$C7</f>
        <v>6.9</v>
      </c>
      <c r="G7" s="38">
        <f>'Firing Inaccuracy(Tapping) Raw'!G7+Analysis!$C7</f>
        <v>8.2348651504793953</v>
      </c>
      <c r="H7" s="38">
        <f>'Firing Inaccuracy(Tapping) Raw'!H7+Analysis!$C7</f>
        <v>8.2705024498786823</v>
      </c>
      <c r="I7" s="38">
        <f>'Firing Inaccuracy(Tapping) Raw'!I7+Analysis!$C7</f>
        <v>8.2714538696591884</v>
      </c>
      <c r="J7" s="38">
        <f>'Firing Inaccuracy(Tapping) Raw'!J7+Analysis!$C7</f>
        <v>8.2714792700013575</v>
      </c>
      <c r="K7" s="38">
        <f>'Firing Inaccuracy(Tapping) Raw'!K7+Analysis!$C7</f>
        <v>8.2714799481219892</v>
      </c>
      <c r="L7" s="38">
        <f>'Firing Inaccuracy(Tapping) Raw'!L7+Analysis!$C7</f>
        <v>8.2714799662259821</v>
      </c>
      <c r="M7" s="38">
        <f>'Firing Inaccuracy(Tapping) Raw'!M7+Analysis!$C7</f>
        <v>8.2714799667093093</v>
      </c>
      <c r="N7" s="38">
        <f>'Firing Inaccuracy(Tapping) Raw'!N7+Analysis!$C7</f>
        <v>8.2714799667222128</v>
      </c>
      <c r="O7" s="38">
        <f>'Firing Inaccuracy(Tapping) Raw'!O7+Analysis!$C7</f>
        <v>8.2714799667225574</v>
      </c>
      <c r="P7" s="38">
        <f>'Firing Inaccuracy(Tapping) Raw'!P7+Analysis!$C7</f>
        <v>8.2714799667225662</v>
      </c>
      <c r="Q7" s="38">
        <f>'Firing Inaccuracy(Tapping) Raw'!Q7+Analysis!$C7</f>
        <v>8.2714799667225662</v>
      </c>
      <c r="R7" s="38">
        <f>'Firing Inaccuracy(Tapping) Raw'!R7+Analysis!$C7</f>
        <v>8.2714799667225662</v>
      </c>
      <c r="S7" s="85"/>
      <c r="T7" s="85"/>
    </row>
    <row r="8" spans="1:20" ht="15.75" customHeight="1" x14ac:dyDescent="0.15">
      <c r="A8" s="35" t="s">
        <v>149</v>
      </c>
      <c r="B8" s="89">
        <f>'Firing Inaccuracy(Tapping) Raw'!B8</f>
        <v>0.55000000000000004</v>
      </c>
      <c r="C8" s="15">
        <f>'Raw Values'!AM8</f>
        <v>52</v>
      </c>
      <c r="D8" s="22">
        <f>'Raw Values'!AE8</f>
        <v>0.34953200000000001</v>
      </c>
      <c r="E8" s="176"/>
      <c r="F8" s="38">
        <f>'Firing Inaccuracy(Tapping) Raw'!F8+Analysis!$C8</f>
        <v>6.4</v>
      </c>
      <c r="G8" s="38">
        <f>'Firing Inaccuracy(Tapping) Raw'!G8+Analysis!$C8</f>
        <v>7.7882597564985705</v>
      </c>
      <c r="H8" s="38">
        <f>'Firing Inaccuracy(Tapping) Raw'!H8+Analysis!$C8</f>
        <v>7.8253225478738297</v>
      </c>
      <c r="I8" s="38">
        <f>'Firing Inaccuracy(Tapping) Raw'!I8+Analysis!$C8</f>
        <v>7.8263120244455564</v>
      </c>
      <c r="J8" s="38">
        <f>'Firing Inaccuracy(Tapping) Raw'!J8+Analysis!$C8</f>
        <v>7.8263384408014121</v>
      </c>
      <c r="K8" s="38">
        <f>'Firing Inaccuracy(Tapping) Raw'!K8+Analysis!$C8</f>
        <v>7.8263391460468688</v>
      </c>
      <c r="L8" s="38">
        <f>'Firing Inaccuracy(Tapping) Raw'!L8+Analysis!$C8</f>
        <v>7.8263391648750211</v>
      </c>
      <c r="M8" s="38">
        <f>'Firing Inaccuracy(Tapping) Raw'!M8+Analysis!$C8</f>
        <v>7.8263391653776813</v>
      </c>
      <c r="N8" s="38">
        <f>'Firing Inaccuracy(Tapping) Raw'!N8+Analysis!$C8</f>
        <v>7.8263391653911007</v>
      </c>
      <c r="O8" s="38">
        <f>'Firing Inaccuracy(Tapping) Raw'!O8+Analysis!$C8</f>
        <v>7.8263391653914596</v>
      </c>
      <c r="P8" s="38">
        <f>'Firing Inaccuracy(Tapping) Raw'!P8+Analysis!$C8</f>
        <v>7.8263391653914693</v>
      </c>
      <c r="Q8" s="38">
        <f>'Firing Inaccuracy(Tapping) Raw'!Q8+Analysis!$C8</f>
        <v>7.8263391653914693</v>
      </c>
      <c r="R8" s="85"/>
      <c r="S8" s="85"/>
      <c r="T8" s="85"/>
    </row>
    <row r="9" spans="1:20" ht="15.75" customHeight="1" x14ac:dyDescent="0.15">
      <c r="A9" s="9" t="s">
        <v>150</v>
      </c>
      <c r="B9" s="89">
        <f>'Firing Inaccuracy(Tapping) Raw'!B9</f>
        <v>0.55000000000000004</v>
      </c>
      <c r="C9" s="15">
        <f>'Raw Values'!V9</f>
        <v>52.45</v>
      </c>
      <c r="D9" s="22">
        <f>'Raw Values'!AE9</f>
        <v>0.34538799999999997</v>
      </c>
      <c r="E9" s="176"/>
      <c r="F9" s="38">
        <f>'Firing Inaccuracy(Tapping) Raw'!F9+Analysis!$C9</f>
        <v>11.1</v>
      </c>
      <c r="G9" s="38">
        <f>'Firing Inaccuracy(Tapping) Raw'!G9+Analysis!$C9</f>
        <v>12.440705776398881</v>
      </c>
      <c r="H9" s="38">
        <f>'Firing Inaccuracy(Tapping) Raw'!H9+Analysis!$C9</f>
        <v>12.474976357502204</v>
      </c>
      <c r="I9" s="38">
        <f>'Firing Inaccuracy(Tapping) Raw'!I9+Analysis!$C9</f>
        <v>12.475852368294307</v>
      </c>
      <c r="J9" s="38">
        <f>'Firing Inaccuracy(Tapping) Raw'!J9+Analysis!$C9</f>
        <v>12.475874760529372</v>
      </c>
      <c r="K9" s="38">
        <f>'Firing Inaccuracy(Tapping) Raw'!K9+Analysis!$C9</f>
        <v>12.475875332910666</v>
      </c>
      <c r="L9" s="38">
        <f>'Firing Inaccuracy(Tapping) Raw'!L9+Analysis!$C9</f>
        <v>12.475875347541646</v>
      </c>
      <c r="M9" s="38">
        <f>'Firing Inaccuracy(Tapping) Raw'!M9+Analysis!$C9</f>
        <v>12.475875347915636</v>
      </c>
      <c r="N9" s="38">
        <f>'Firing Inaccuracy(Tapping) Raw'!N9+Analysis!$C9</f>
        <v>12.475875347925196</v>
      </c>
      <c r="O9" s="38">
        <f>'Firing Inaccuracy(Tapping) Raw'!O9+Analysis!$C9</f>
        <v>12.475875347925442</v>
      </c>
      <c r="P9" s="38">
        <f>'Firing Inaccuracy(Tapping) Raw'!P9+Analysis!$C9</f>
        <v>12.475875347925447</v>
      </c>
      <c r="Q9" s="38">
        <f>'Firing Inaccuracy(Tapping) Raw'!Q9+Analysis!$C9</f>
        <v>12.475875347925449</v>
      </c>
      <c r="R9" s="38">
        <f>'Firing Inaccuracy(Tapping) Raw'!R9+Analysis!$C9</f>
        <v>12.475875347925449</v>
      </c>
      <c r="S9" s="85"/>
      <c r="T9" s="85"/>
    </row>
    <row r="10" spans="1:20" ht="15.75" customHeight="1" x14ac:dyDescent="0.15">
      <c r="A10" s="9" t="s">
        <v>151</v>
      </c>
      <c r="B10" s="89">
        <f>'Firing Inaccuracy(Tapping) Raw'!B10</f>
        <v>0.55000000000000004</v>
      </c>
      <c r="C10" s="15">
        <f>'Raw Values'!V10</f>
        <v>35</v>
      </c>
      <c r="D10" s="22">
        <f>'Raw Values'!AE10</f>
        <v>0.24249999999999999</v>
      </c>
      <c r="E10" s="176"/>
      <c r="F10" s="38">
        <f>'Firing Inaccuracy(Tapping) Raw'!F10+Analysis!$C10</f>
        <v>13.43</v>
      </c>
      <c r="G10" s="38">
        <f>'Firing Inaccuracy(Tapping) Raw'!G10+Analysis!$C10</f>
        <v>13.618810789074137</v>
      </c>
      <c r="H10" s="38">
        <f>'Firing Inaccuracy(Tapping) Raw'!H10+Analysis!$C10</f>
        <v>13.619829346619017</v>
      </c>
      <c r="I10" s="38">
        <f>'Firing Inaccuracy(Tapping) Raw'!I10+Analysis!$C10</f>
        <v>13.619834841323412</v>
      </c>
      <c r="J10" s="38">
        <f>'Firing Inaccuracy(Tapping) Raw'!J10+Analysis!$C10</f>
        <v>13.619834870965111</v>
      </c>
      <c r="K10" s="38">
        <f>'Firing Inaccuracy(Tapping) Raw'!K10+Analysis!$C10</f>
        <v>13.619834871125015</v>
      </c>
      <c r="L10" s="38">
        <f>'Firing Inaccuracy(Tapping) Raw'!L10+Analysis!$C10</f>
        <v>13.619834871125878</v>
      </c>
      <c r="M10" s="38">
        <f>'Firing Inaccuracy(Tapping) Raw'!M10+Analysis!$C10</f>
        <v>13.619834871125882</v>
      </c>
      <c r="N10" s="38">
        <f>'Firing Inaccuracy(Tapping) Raw'!N10+Analysis!$C10</f>
        <v>13.619834871125883</v>
      </c>
      <c r="O10" s="38">
        <f>'Firing Inaccuracy(Tapping) Raw'!O10+Analysis!$C10</f>
        <v>13.619834871125883</v>
      </c>
      <c r="P10" s="38">
        <f>'Firing Inaccuracy(Tapping) Raw'!P10+Analysis!$C10</f>
        <v>13.619834871125883</v>
      </c>
      <c r="Q10" s="38">
        <f>'Firing Inaccuracy(Tapping) Raw'!Q10+Analysis!$C10</f>
        <v>13.619834871125883</v>
      </c>
      <c r="R10" s="85"/>
      <c r="S10" s="85"/>
      <c r="T10" s="85"/>
    </row>
    <row r="11" spans="1:20" ht="15.75" customHeight="1" x14ac:dyDescent="0.15">
      <c r="A11" s="36" t="s">
        <v>152</v>
      </c>
      <c r="B11" s="89">
        <f>'Firing Inaccuracy(Tapping) Raw'!B11</f>
        <v>0.55000000000000004</v>
      </c>
      <c r="C11" s="15">
        <f>'Raw Values'!V11</f>
        <v>45</v>
      </c>
      <c r="D11" s="22">
        <f>'Raw Values'!AE11</f>
        <v>0.39100000000000001</v>
      </c>
      <c r="E11" s="176"/>
      <c r="F11" s="38">
        <f>'Firing Inaccuracy(Tapping) Raw'!F11+Analysis!$C11</f>
        <v>6.9</v>
      </c>
      <c r="G11" s="38">
        <f>'Firing Inaccuracy(Tapping) Raw'!G11+Analysis!$C11</f>
        <v>8.6642612579905833</v>
      </c>
      <c r="H11" s="38">
        <f>'Firing Inaccuracy(Tapping) Raw'!H11+Analysis!$C11</f>
        <v>8.7334305421338385</v>
      </c>
      <c r="I11" s="38">
        <f>'Firing Inaccuracy(Tapping) Raw'!I11+Analysis!$C11</f>
        <v>8.7361423796506585</v>
      </c>
      <c r="J11" s="38">
        <f>'Firing Inaccuracy(Tapping) Raw'!J11+Analysis!$C11</f>
        <v>8.7362486994255235</v>
      </c>
      <c r="K11" s="38">
        <f>'Firing Inaccuracy(Tapping) Raw'!K11+Analysis!$C11</f>
        <v>8.7362528677779618</v>
      </c>
      <c r="L11" s="38">
        <f>'Firing Inaccuracy(Tapping) Raw'!L11+Analysis!$C11</f>
        <v>8.7362530312015778</v>
      </c>
      <c r="M11" s="38">
        <f>'Firing Inaccuracy(Tapping) Raw'!M11+Analysis!$C11</f>
        <v>8.7362530376087335</v>
      </c>
      <c r="N11" s="38">
        <f>'Firing Inaccuracy(Tapping) Raw'!N11+Analysis!$C11</f>
        <v>8.7362530378599299</v>
      </c>
      <c r="O11" s="38">
        <f>'Firing Inaccuracy(Tapping) Raw'!O11+Analysis!$C11</f>
        <v>8.7362530378697798</v>
      </c>
      <c r="P11" s="38">
        <f>'Firing Inaccuracy(Tapping) Raw'!P11+Analysis!$C11</f>
        <v>8.7362530378701653</v>
      </c>
      <c r="Q11" s="38">
        <f>'Firing Inaccuracy(Tapping) Raw'!Q11+Analysis!$C11</f>
        <v>8.7362530378701795</v>
      </c>
      <c r="R11" s="38">
        <f>'Firing Inaccuracy(Tapping) Raw'!R11+Analysis!$C11</f>
        <v>8.7362530378701813</v>
      </c>
      <c r="S11" s="38">
        <f>'Firing Inaccuracy(Tapping) Raw'!S11+Analysis!$C11</f>
        <v>8.7362530378701813</v>
      </c>
      <c r="T11" s="38">
        <f>'Firing Inaccuracy(Tapping) Raw'!T11+Analysis!$C11</f>
        <v>8.7362530378701813</v>
      </c>
    </row>
    <row r="12" spans="1:20" ht="15.75" customHeight="1" x14ac:dyDescent="0.15">
      <c r="A12" s="39"/>
      <c r="B12" s="104"/>
      <c r="C12" s="43"/>
      <c r="D12" s="192"/>
      <c r="E12" s="194"/>
      <c r="F12" s="41"/>
      <c r="G12" s="41"/>
      <c r="H12" s="41"/>
      <c r="I12" s="41"/>
      <c r="J12" s="41"/>
      <c r="K12" s="41"/>
      <c r="L12" s="41"/>
      <c r="M12" s="41"/>
      <c r="N12" s="180"/>
      <c r="O12" s="180"/>
      <c r="P12" s="180"/>
      <c r="Q12" s="180"/>
      <c r="R12" s="180"/>
      <c r="S12" s="180"/>
      <c r="T12" s="180"/>
    </row>
    <row r="13" spans="1:20" ht="15.75" customHeight="1" x14ac:dyDescent="0.15">
      <c r="A13" s="1" t="s">
        <v>53</v>
      </c>
      <c r="B13" s="197" t="s">
        <v>238</v>
      </c>
      <c r="C13" s="4" t="s">
        <v>234</v>
      </c>
      <c r="D13" s="7" t="s">
        <v>27</v>
      </c>
      <c r="E13" s="174"/>
      <c r="F13" s="175">
        <v>1</v>
      </c>
      <c r="G13" s="175">
        <v>2</v>
      </c>
      <c r="H13" s="175">
        <v>3</v>
      </c>
      <c r="I13" s="175">
        <v>4</v>
      </c>
      <c r="J13" s="175">
        <v>5</v>
      </c>
      <c r="K13" s="175">
        <v>6</v>
      </c>
      <c r="L13" s="175">
        <v>7</v>
      </c>
      <c r="M13" s="175">
        <v>8</v>
      </c>
      <c r="N13" s="181"/>
      <c r="O13" s="183"/>
      <c r="P13" s="183"/>
      <c r="Q13" s="183"/>
      <c r="R13" s="183"/>
      <c r="S13" s="183"/>
      <c r="T13" s="183"/>
    </row>
    <row r="14" spans="1:20" ht="15.75" customHeight="1" x14ac:dyDescent="0.15">
      <c r="A14" s="35" t="s">
        <v>153</v>
      </c>
      <c r="B14" s="89">
        <f>'Firing Inaccuracy(Tapping) Raw'!B14</f>
        <v>0.85</v>
      </c>
      <c r="C14" s="15">
        <f>'Raw Values'!V14</f>
        <v>11.19</v>
      </c>
      <c r="D14" s="22">
        <f>'Raw Values'!AE14</f>
        <v>0.399729</v>
      </c>
      <c r="E14" s="176"/>
      <c r="F14" s="38">
        <f>'Firing Inaccuracy(Tapping) Raw'!F14+Analysis!$C14</f>
        <v>47</v>
      </c>
      <c r="G14" s="38">
        <f>'Firing Inaccuracy(Tapping) Raw'!G14+Analysis!$C14</f>
        <v>47.083635262239326</v>
      </c>
      <c r="H14" s="38">
        <f>'Firing Inaccuracy(Tapping) Raw'!H14+Analysis!$C14</f>
        <v>47.084260361174969</v>
      </c>
      <c r="I14" s="38">
        <f>'Firing Inaccuracy(Tapping) Raw'!I14+Analysis!$C14</f>
        <v>47.084265033231574</v>
      </c>
      <c r="J14" s="38">
        <f>'Firing Inaccuracy(Tapping) Raw'!J14+Analysis!$C14</f>
        <v>47.084265068151026</v>
      </c>
      <c r="K14" s="38">
        <f>'Firing Inaccuracy(Tapping) Raw'!K14+Analysis!$C14</f>
        <v>47.084265068412023</v>
      </c>
      <c r="L14" s="38">
        <f>'Firing Inaccuracy(Tapping) Raw'!L14+Analysis!$C14</f>
        <v>47.08426506841397</v>
      </c>
      <c r="M14" s="85"/>
      <c r="N14" s="184"/>
      <c r="O14" s="177"/>
      <c r="P14" s="177"/>
      <c r="Q14" s="177"/>
      <c r="R14" s="177"/>
      <c r="S14" s="177"/>
      <c r="T14" s="177"/>
    </row>
    <row r="15" spans="1:20" ht="15.75" customHeight="1" x14ac:dyDescent="0.15">
      <c r="A15" s="9" t="s">
        <v>155</v>
      </c>
      <c r="B15" s="89">
        <f>'Firing Inaccuracy(Tapping) Raw'!B15</f>
        <v>0.88</v>
      </c>
      <c r="C15" s="15">
        <f>'Raw Values'!V15</f>
        <v>9.7200000000000006</v>
      </c>
      <c r="D15" s="22">
        <f>'Raw Values'!AE15</f>
        <v>0.46051700000000001</v>
      </c>
      <c r="E15" s="176"/>
      <c r="F15" s="38">
        <f>'Firing Inaccuracy(Tapping) Raw'!F15+Analysis!$C15</f>
        <v>47</v>
      </c>
      <c r="G15" s="38">
        <f>'Firing Inaccuracy(Tapping) Raw'!G15+Analysis!$C15</f>
        <v>47.119335722651634</v>
      </c>
      <c r="H15" s="38">
        <f>'Firing Inaccuracy(Tapping) Raw'!H15+Analysis!$C15</f>
        <v>47.120800847620849</v>
      </c>
      <c r="I15" s="38">
        <f>'Firing Inaccuracy(Tapping) Raw'!I15+Analysis!$C15</f>
        <v>47.120818835454905</v>
      </c>
      <c r="J15" s="38">
        <f>'Firing Inaccuracy(Tapping) Raw'!J15+Analysis!$C15</f>
        <v>47.12081905629762</v>
      </c>
      <c r="K15" s="38">
        <f>'Firing Inaccuracy(Tapping) Raw'!K15+Analysis!$C15</f>
        <v>47.12081905900898</v>
      </c>
      <c r="L15" s="38">
        <f>'Firing Inaccuracy(Tapping) Raw'!L15+Analysis!$C15</f>
        <v>47.120819059042269</v>
      </c>
      <c r="M15" s="38">
        <f>'Firing Inaccuracy(Tapping) Raw'!M15+Analysis!$C15</f>
        <v>47.120819059042674</v>
      </c>
      <c r="N15" s="184"/>
      <c r="O15" s="177"/>
      <c r="P15" s="177"/>
      <c r="Q15" s="177"/>
      <c r="R15" s="177"/>
      <c r="S15" s="177"/>
      <c r="T15" s="177"/>
    </row>
    <row r="16" spans="1:20" ht="15.75" customHeight="1" x14ac:dyDescent="0.15">
      <c r="A16" s="36" t="s">
        <v>156</v>
      </c>
      <c r="B16" s="89">
        <f>'Firing Inaccuracy(Tapping) Raw'!B16</f>
        <v>0.85</v>
      </c>
      <c r="C16" s="15">
        <f>'Raw Values'!V16</f>
        <v>9.7200000000000006</v>
      </c>
      <c r="D16" s="22">
        <f>'Raw Values'!AE16</f>
        <v>0.46051700000000001</v>
      </c>
      <c r="E16" s="176"/>
      <c r="F16" s="38">
        <f>'Firing Inaccuracy(Tapping) Raw'!F16+Analysis!$C16</f>
        <v>69</v>
      </c>
      <c r="G16" s="38">
        <f>'Firing Inaccuracy(Tapping) Raw'!G16+Analysis!$C16</f>
        <v>69.138648329797334</v>
      </c>
      <c r="H16" s="38">
        <f>'Firing Inaccuracy(Tapping) Raw'!H16+Analysis!$C16</f>
        <v>69.140626041665186</v>
      </c>
      <c r="I16" s="38">
        <f>'Firing Inaccuracy(Tapping) Raw'!I16+Analysis!$C16</f>
        <v>69.140654252205039</v>
      </c>
      <c r="J16" s="38">
        <f>'Firing Inaccuracy(Tapping) Raw'!J16+Analysis!$C16</f>
        <v>69.140654654606706</v>
      </c>
      <c r="K16" s="38">
        <f>'Firing Inaccuracy(Tapping) Raw'!K16+Analysis!$C16</f>
        <v>69.140654660346655</v>
      </c>
      <c r="L16" s="38">
        <f>'Firing Inaccuracy(Tapping) Raw'!L16+Analysis!$C16</f>
        <v>69.140654660428524</v>
      </c>
      <c r="M16" s="85"/>
      <c r="N16" s="184"/>
      <c r="O16" s="177"/>
      <c r="P16" s="177"/>
      <c r="Q16" s="177"/>
      <c r="R16" s="177"/>
      <c r="S16" s="177"/>
      <c r="T16" s="177"/>
    </row>
    <row r="17" spans="1:20" ht="15.75" customHeight="1" x14ac:dyDescent="0.15">
      <c r="A17" s="9" t="s">
        <v>157</v>
      </c>
      <c r="B17" s="89">
        <f>'Firing Inaccuracy(Tapping) Raw'!B17</f>
        <v>0.55000000000000004</v>
      </c>
      <c r="C17" s="15">
        <f>'Raw Values'!V17</f>
        <v>8.83</v>
      </c>
      <c r="D17" s="22">
        <f>'Raw Values'!AE17</f>
        <v>0.50656900000000005</v>
      </c>
      <c r="E17" s="176"/>
      <c r="F17" s="38">
        <f>'Firing Inaccuracy(Tapping) Raw'!F17+Analysis!$C17</f>
        <v>45</v>
      </c>
      <c r="G17" s="38">
        <f>'Firing Inaccuracy(Tapping) Raw'!G17+Analysis!$C17</f>
        <v>45.724811537785001</v>
      </c>
      <c r="H17" s="38">
        <f>'Firing Inaccuracy(Tapping) Raw'!H17+Analysis!$C17</f>
        <v>45.78430777394653</v>
      </c>
      <c r="I17" s="38">
        <f>'Firing Inaccuracy(Tapping) Raw'!I17+Analysis!$C17</f>
        <v>45.789191529147509</v>
      </c>
      <c r="J17" s="38">
        <f>'Firing Inaccuracy(Tapping) Raw'!J17+Analysis!$C17</f>
        <v>45.789592412739509</v>
      </c>
      <c r="K17" s="38">
        <f>'Firing Inaccuracy(Tapping) Raw'!K17+Analysis!$C17</f>
        <v>45.789625319314005</v>
      </c>
      <c r="L17" s="38">
        <f>'Firing Inaccuracy(Tapping) Raw'!L17+Analysis!$C17</f>
        <v>45.789628020453854</v>
      </c>
      <c r="M17" s="85"/>
      <c r="N17" s="184"/>
      <c r="O17" s="177"/>
      <c r="P17" s="177"/>
      <c r="Q17" s="177"/>
      <c r="R17" s="177"/>
      <c r="S17" s="177"/>
      <c r="T17" s="177"/>
    </row>
    <row r="18" spans="1:20" ht="15.75" customHeight="1" x14ac:dyDescent="0.15">
      <c r="A18" s="39"/>
      <c r="B18" s="104"/>
      <c r="C18" s="43"/>
      <c r="D18" s="192"/>
      <c r="E18" s="194"/>
      <c r="F18" s="41"/>
      <c r="G18" s="41"/>
      <c r="H18" s="41"/>
      <c r="I18" s="41"/>
      <c r="J18" s="41"/>
      <c r="K18" s="41"/>
      <c r="L18" s="41"/>
      <c r="M18" s="41"/>
      <c r="N18" s="188"/>
      <c r="O18" s="188"/>
      <c r="P18" s="188"/>
      <c r="Q18" s="188"/>
      <c r="R18" s="188"/>
      <c r="S18" s="188"/>
      <c r="T18" s="188"/>
    </row>
    <row r="19" spans="1:20" ht="15.75" customHeight="1" x14ac:dyDescent="0.15">
      <c r="A19" s="1" t="s">
        <v>59</v>
      </c>
      <c r="B19" s="197" t="s">
        <v>238</v>
      </c>
      <c r="C19" s="4" t="s">
        <v>234</v>
      </c>
      <c r="D19" s="7" t="s">
        <v>27</v>
      </c>
      <c r="E19" s="174"/>
      <c r="F19" s="175">
        <v>1</v>
      </c>
      <c r="G19" s="175">
        <v>2</v>
      </c>
      <c r="H19" s="175">
        <v>3</v>
      </c>
      <c r="I19" s="175">
        <v>4</v>
      </c>
      <c r="J19" s="175">
        <v>5</v>
      </c>
      <c r="K19" s="175">
        <v>6</v>
      </c>
      <c r="L19" s="175">
        <v>7</v>
      </c>
      <c r="M19" s="175">
        <v>8</v>
      </c>
      <c r="N19" s="175">
        <v>9</v>
      </c>
      <c r="O19" s="175">
        <v>10</v>
      </c>
      <c r="P19" s="175">
        <v>11</v>
      </c>
      <c r="Q19" s="175">
        <v>12</v>
      </c>
      <c r="R19" s="175">
        <v>13</v>
      </c>
      <c r="S19" s="175">
        <v>14</v>
      </c>
      <c r="T19" s="175">
        <v>15</v>
      </c>
    </row>
    <row r="20" spans="1:20" ht="15.75" customHeight="1" x14ac:dyDescent="0.15">
      <c r="A20" s="9" t="s">
        <v>158</v>
      </c>
      <c r="B20" s="89">
        <f>'Firing Inaccuracy(Tapping) Raw'!B20</f>
        <v>0.17</v>
      </c>
      <c r="C20" s="15">
        <f>'Raw Values'!V20</f>
        <v>2.88</v>
      </c>
      <c r="D20" s="22">
        <f>'Raw Values'!AE20</f>
        <v>0.33157199999999998</v>
      </c>
      <c r="E20" s="176"/>
      <c r="F20" s="38">
        <f>'Firing Inaccuracy(Tapping) Raw'!F20+Analysis!$C20</f>
        <v>15</v>
      </c>
      <c r="G20" s="38">
        <f>'Firing Inaccuracy(Tapping) Raw'!G20+Analysis!$C20</f>
        <v>15.884470459768096</v>
      </c>
      <c r="H20" s="38">
        <f>'Firing Inaccuracy(Tapping) Raw'!H20+Analysis!$C20</f>
        <v>16.156098235532813</v>
      </c>
      <c r="I20" s="38">
        <f>'Firing Inaccuracy(Tapping) Raw'!I20+Analysis!$C20</f>
        <v>16.239517243767676</v>
      </c>
      <c r="J20" s="38">
        <f>'Firing Inaccuracy(Tapping) Raw'!J20+Analysis!$C20</f>
        <v>16.265135871742292</v>
      </c>
      <c r="K20" s="38">
        <f>'Firing Inaccuracy(Tapping) Raw'!K20+Analysis!$C20</f>
        <v>16.273003552180949</v>
      </c>
      <c r="L20" s="38">
        <f>'Firing Inaccuracy(Tapping) Raw'!L20+Analysis!$C20</f>
        <v>16.275419778200007</v>
      </c>
      <c r="M20" s="38">
        <f>'Firing Inaccuracy(Tapping) Raw'!M20+Analysis!$C20</f>
        <v>16.276161820053474</v>
      </c>
      <c r="N20" s="38">
        <f>'Firing Inaccuracy(Tapping) Raw'!N20+Analysis!$C20</f>
        <v>16.276389706893507</v>
      </c>
      <c r="O20" s="38">
        <f>'Firing Inaccuracy(Tapping) Raw'!O20+Analysis!$C20</f>
        <v>16.276459692719264</v>
      </c>
      <c r="P20" s="38">
        <f>'Firing Inaccuracy(Tapping) Raw'!P20+Analysis!$C20</f>
        <v>16.276481185912143</v>
      </c>
      <c r="Q20" s="38">
        <f>'Firing Inaccuracy(Tapping) Raw'!Q20+Analysis!$C20</f>
        <v>16.27648778663929</v>
      </c>
      <c r="R20" s="38">
        <f>'Firing Inaccuracy(Tapping) Raw'!R20+Analysis!$C20</f>
        <v>16.276489813774074</v>
      </c>
      <c r="S20" s="38">
        <f>'Firing Inaccuracy(Tapping) Raw'!S20+Analysis!$C20</f>
        <v>16.276490436322973</v>
      </c>
      <c r="T20" s="38">
        <f>'Firing Inaccuracy(Tapping) Raw'!T20+Analysis!$C20</f>
        <v>16.276490627512594</v>
      </c>
    </row>
    <row r="21" spans="1:20" ht="15.75" customHeight="1" x14ac:dyDescent="0.15">
      <c r="A21" s="36" t="s">
        <v>160</v>
      </c>
      <c r="B21" s="89">
        <f>'Firing Inaccuracy(Tapping) Raw'!B21</f>
        <v>0.17</v>
      </c>
      <c r="C21" s="15">
        <f>'Raw Values'!V21</f>
        <v>4.76</v>
      </c>
      <c r="D21" s="22">
        <f>'Raw Values'!AE21</f>
        <v>0.399729</v>
      </c>
      <c r="E21" s="176"/>
      <c r="F21" s="38">
        <f>'Firing Inaccuracy(Tapping) Raw'!F21+Analysis!$C21</f>
        <v>13.9</v>
      </c>
      <c r="G21" s="38">
        <f>'Firing Inaccuracy(Tapping) Raw'!G21+Analysis!$C21</f>
        <v>15.687799535112347</v>
      </c>
      <c r="H21" s="38">
        <f>'Firing Inaccuracy(Tapping) Raw'!H21+Analysis!$C21</f>
        <v>16.359275832958549</v>
      </c>
      <c r="I21" s="38">
        <f>'Firing Inaccuracy(Tapping) Raw'!I21+Analysis!$C21</f>
        <v>16.61147436512838</v>
      </c>
      <c r="J21" s="38">
        <f>'Firing Inaccuracy(Tapping) Raw'!J21+Analysis!$C21</f>
        <v>16.706197142138727</v>
      </c>
      <c r="K21" s="38">
        <f>'Firing Inaccuracy(Tapping) Raw'!K21+Analysis!$C21</f>
        <v>16.741773893547055</v>
      </c>
      <c r="L21" s="38">
        <f>'Firing Inaccuracy(Tapping) Raw'!L21+Analysis!$C21</f>
        <v>16.755136099351386</v>
      </c>
      <c r="M21" s="38">
        <f>'Firing Inaccuracy(Tapping) Raw'!M21+Analysis!$C21</f>
        <v>16.760154785344046</v>
      </c>
      <c r="N21" s="38">
        <f>'Firing Inaccuracy(Tapping) Raw'!N21+Analysis!$C21</f>
        <v>16.762039744269369</v>
      </c>
      <c r="O21" s="38">
        <f>'Firing Inaccuracy(Tapping) Raw'!O21+Analysis!$C21</f>
        <v>16.762747712481641</v>
      </c>
      <c r="P21" s="38">
        <f>'Firing Inaccuracy(Tapping) Raw'!P21+Analysis!$C21</f>
        <v>16.763013616943987</v>
      </c>
      <c r="Q21" s="38">
        <f>'Firing Inaccuracy(Tapping) Raw'!Q21+Analysis!$C21</f>
        <v>16.763113487505787</v>
      </c>
      <c r="R21" s="38">
        <f>'Firing Inaccuracy(Tapping) Raw'!R21+Analysis!$C21</f>
        <v>16.763150997704098</v>
      </c>
      <c r="S21" s="38">
        <f>'Firing Inaccuracy(Tapping) Raw'!S21+Analysis!$C21</f>
        <v>16.763165086089622</v>
      </c>
      <c r="T21" s="38">
        <f>'Firing Inaccuracy(Tapping) Raw'!T21+Analysis!$C21</f>
        <v>16.763170377520105</v>
      </c>
    </row>
    <row r="22" spans="1:20" ht="15.75" customHeight="1" x14ac:dyDescent="0.15">
      <c r="A22" s="9" t="s">
        <v>161</v>
      </c>
      <c r="B22" s="89">
        <f>'Firing Inaccuracy(Tapping) Raw'!B22</f>
        <v>0.17</v>
      </c>
      <c r="C22" s="15">
        <f>'Raw Values'!V22</f>
        <v>2.1800000000000002</v>
      </c>
      <c r="D22" s="22">
        <f>'Raw Values'!AE22</f>
        <v>0.43749100000000002</v>
      </c>
      <c r="E22" s="176"/>
      <c r="F22" s="38">
        <f>'Firing Inaccuracy(Tapping) Raw'!F22+Analysis!$C22</f>
        <v>10.6</v>
      </c>
      <c r="G22" s="38">
        <f>'Firing Inaccuracy(Tapping) Raw'!G22+Analysis!$C22</f>
        <v>11.490998702079697</v>
      </c>
      <c r="H22" s="38">
        <f>'Firing Inaccuracy(Tapping) Raw'!H22+Analysis!$C22</f>
        <v>11.855163237450203</v>
      </c>
      <c r="I22" s="38">
        <f>'Firing Inaccuracy(Tapping) Raw'!I22+Analysis!$C22</f>
        <v>12.004002745871569</v>
      </c>
      <c r="J22" s="38">
        <f>'Firing Inaccuracy(Tapping) Raw'!J22+Analysis!$C22</f>
        <v>12.064835685697998</v>
      </c>
      <c r="K22" s="38">
        <f>'Firing Inaccuracy(Tapping) Raw'!K22+Analysis!$C22</f>
        <v>12.089699020757191</v>
      </c>
      <c r="L22" s="38">
        <f>'Firing Inaccuracy(Tapping) Raw'!L22+Analysis!$C22</f>
        <v>12.099861038769628</v>
      </c>
      <c r="M22" s="38">
        <f>'Firing Inaccuracy(Tapping) Raw'!M22+Analysis!$C22</f>
        <v>12.104014407971276</v>
      </c>
      <c r="N22" s="38">
        <f>'Firing Inaccuracy(Tapping) Raw'!N22+Analysis!$C22</f>
        <v>12.105711952268489</v>
      </c>
      <c r="O22" s="38">
        <f>'Firing Inaccuracy(Tapping) Raw'!O22+Analysis!$C22</f>
        <v>12.106405764087546</v>
      </c>
      <c r="P22" s="38">
        <f>'Firing Inaccuracy(Tapping) Raw'!P22+Analysis!$C22</f>
        <v>12.106689335385832</v>
      </c>
      <c r="Q22" s="38">
        <f>'Firing Inaccuracy(Tapping) Raw'!Q22+Analysis!$C22</f>
        <v>12.106805235229283</v>
      </c>
      <c r="R22" s="38">
        <f>'Firing Inaccuracy(Tapping) Raw'!R22+Analysis!$C22</f>
        <v>12.106852605233909</v>
      </c>
      <c r="S22" s="38">
        <f>'Firing Inaccuracy(Tapping) Raw'!S22+Analysis!$C22</f>
        <v>12.106871966065395</v>
      </c>
      <c r="T22" s="38">
        <f>'Firing Inaccuracy(Tapping) Raw'!T22+Analysis!$C22</f>
        <v>12.106879879127654</v>
      </c>
    </row>
    <row r="23" spans="1:20" ht="15.75" customHeight="1" x14ac:dyDescent="0.15">
      <c r="A23" s="53" t="s">
        <v>162</v>
      </c>
      <c r="B23" s="89">
        <f>'Firing Inaccuracy(Tapping) Raw'!B23</f>
        <v>0.17</v>
      </c>
      <c r="C23" s="15">
        <f>'Raw Values'!V23</f>
        <v>2.1800000000000002</v>
      </c>
      <c r="D23" s="22">
        <f>'Raw Values'!AE23</f>
        <v>0.43749100000000002</v>
      </c>
      <c r="E23" s="176"/>
      <c r="F23" s="38">
        <f>'Firing Inaccuracy(Tapping) Raw'!F23+Analysis!$C23</f>
        <v>10.6</v>
      </c>
      <c r="G23" s="38">
        <f>'Firing Inaccuracy(Tapping) Raw'!G23+Analysis!$C23</f>
        <v>11.490998702079697</v>
      </c>
      <c r="H23" s="38">
        <f>'Firing Inaccuracy(Tapping) Raw'!H23+Analysis!$C23</f>
        <v>11.855163237450203</v>
      </c>
      <c r="I23" s="38">
        <f>'Firing Inaccuracy(Tapping) Raw'!I23+Analysis!$C23</f>
        <v>12.004002745871569</v>
      </c>
      <c r="J23" s="38">
        <f>'Firing Inaccuracy(Tapping) Raw'!J23+Analysis!$C23</f>
        <v>12.064835685697998</v>
      </c>
      <c r="K23" s="38">
        <f>'Firing Inaccuracy(Tapping) Raw'!K23+Analysis!$C23</f>
        <v>12.089699020757191</v>
      </c>
      <c r="L23" s="38">
        <f>'Firing Inaccuracy(Tapping) Raw'!L23+Analysis!$C23</f>
        <v>12.099861038769628</v>
      </c>
      <c r="M23" s="38">
        <f>'Firing Inaccuracy(Tapping) Raw'!M23+Analysis!$C23</f>
        <v>12.104014407971276</v>
      </c>
      <c r="N23" s="38">
        <f>'Firing Inaccuracy(Tapping) Raw'!N23+Analysis!$C23</f>
        <v>12.105711952268489</v>
      </c>
      <c r="O23" s="38">
        <f>'Firing Inaccuracy(Tapping) Raw'!O23+Analysis!$C23</f>
        <v>12.106405764087546</v>
      </c>
      <c r="P23" s="38">
        <f>'Firing Inaccuracy(Tapping) Raw'!P23+Analysis!$C23</f>
        <v>12.106689335385832</v>
      </c>
      <c r="Q23" s="38">
        <f>'Firing Inaccuracy(Tapping) Raw'!Q23+Analysis!$C23</f>
        <v>12.106805235229283</v>
      </c>
      <c r="R23" s="38">
        <f>'Firing Inaccuracy(Tapping) Raw'!R23+Analysis!$C23</f>
        <v>12.106852605233909</v>
      </c>
      <c r="S23" s="38">
        <f>'Firing Inaccuracy(Tapping) Raw'!S23+Analysis!$C23</f>
        <v>12.106871966065395</v>
      </c>
      <c r="T23" s="38">
        <f>'Firing Inaccuracy(Tapping) Raw'!T23+Analysis!$C23</f>
        <v>12.106879879127654</v>
      </c>
    </row>
    <row r="24" spans="1:20" ht="15.75" customHeight="1" x14ac:dyDescent="0.15">
      <c r="A24" s="35" t="s">
        <v>163</v>
      </c>
      <c r="B24" s="89">
        <f>'Firing Inaccuracy(Tapping) Raw'!B24</f>
        <v>0.17</v>
      </c>
      <c r="C24" s="15">
        <f>'Raw Values'!V24</f>
        <v>3.7</v>
      </c>
      <c r="D24" s="22">
        <f>'Raw Values'!AE24</f>
        <v>0.25789000000000001</v>
      </c>
      <c r="E24" s="176"/>
      <c r="F24" s="38">
        <f>'Firing Inaccuracy(Tapping) Raw'!F24+Analysis!$C24</f>
        <v>9.6</v>
      </c>
      <c r="G24" s="38">
        <f>'Firing Inaccuracy(Tapping) Raw'!G24+Analysis!$C24</f>
        <v>10.41097215518494</v>
      </c>
      <c r="H24" s="38">
        <f>'Firing Inaccuracy(Tapping) Raw'!H24+Analysis!$C24</f>
        <v>10.58872238126205</v>
      </c>
      <c r="I24" s="38">
        <f>'Firing Inaccuracy(Tapping) Raw'!I24+Analysis!$C24</f>
        <v>10.62768197151242</v>
      </c>
      <c r="J24" s="38">
        <f>'Firing Inaccuracy(Tapping) Raw'!J24+Analysis!$C24</f>
        <v>10.636221199315248</v>
      </c>
      <c r="K24" s="38">
        <f>'Firing Inaccuracy(Tapping) Raw'!K24+Analysis!$C24</f>
        <v>10.638092841470618</v>
      </c>
      <c r="L24" s="38">
        <f>'Firing Inaccuracy(Tapping) Raw'!L24+Analysis!$C24</f>
        <v>10.638503071111829</v>
      </c>
      <c r="M24" s="38">
        <f>'Firing Inaccuracy(Tapping) Raw'!M24+Analysis!$C24</f>
        <v>10.638592985927032</v>
      </c>
      <c r="N24" s="38">
        <f>'Firing Inaccuracy(Tapping) Raw'!N24+Analysis!$C24</f>
        <v>10.638612693605808</v>
      </c>
      <c r="O24" s="38">
        <f>'Firing Inaccuracy(Tapping) Raw'!O24+Analysis!$C24</f>
        <v>10.638617013167627</v>
      </c>
      <c r="P24" s="38">
        <f>'Firing Inaccuracy(Tapping) Raw'!P24+Analysis!$C24</f>
        <v>10.638617959936372</v>
      </c>
      <c r="Q24" s="38">
        <f>'Firing Inaccuracy(Tapping) Raw'!Q24+Analysis!$C24</f>
        <v>10.638618167450721</v>
      </c>
      <c r="R24" s="38">
        <f>'Firing Inaccuracy(Tapping) Raw'!R24+Analysis!$C24</f>
        <v>10.638618212934061</v>
      </c>
      <c r="S24" s="38">
        <f>'Firing Inaccuracy(Tapping) Raw'!S24+Analysis!$C24</f>
        <v>10.638618222903174</v>
      </c>
      <c r="T24" s="38">
        <f>'Firing Inaccuracy(Tapping) Raw'!T24+Analysis!$C24</f>
        <v>10.638618225088221</v>
      </c>
    </row>
    <row r="25" spans="1:20" ht="15.75" customHeight="1" x14ac:dyDescent="0.15">
      <c r="A25" s="9" t="s">
        <v>164</v>
      </c>
      <c r="B25" s="89">
        <f>'Firing Inaccuracy(Tapping) Raw'!B25</f>
        <v>0.17</v>
      </c>
      <c r="C25" s="15">
        <f>'Raw Values'!V25</f>
        <v>2.85</v>
      </c>
      <c r="D25" s="22">
        <f>'Raw Values'!AE25</f>
        <v>0.37209799999999998</v>
      </c>
      <c r="E25" s="176"/>
      <c r="F25" s="38">
        <f>'Firing Inaccuracy(Tapping) Raw'!F25+Analysis!$C25</f>
        <v>14.65</v>
      </c>
      <c r="G25" s="38">
        <f>'Firing Inaccuracy(Tapping) Raw'!G25+Analysis!$C25</f>
        <v>15.645350343422518</v>
      </c>
      <c r="H25" s="38">
        <f>'Firing Inaccuracy(Tapping) Raw'!H25+Analysis!$C25</f>
        <v>15.99297220523</v>
      </c>
      <c r="I25" s="38">
        <f>'Firing Inaccuracy(Tapping) Raw'!I25+Analysis!$C25</f>
        <v>16.114377657697105</v>
      </c>
      <c r="J25" s="38">
        <f>'Firing Inaccuracy(Tapping) Raw'!J25+Analysis!$C25</f>
        <v>16.156777994120439</v>
      </c>
      <c r="K25" s="38">
        <f>'Firing Inaccuracy(Tapping) Raw'!K25+Analysis!$C25</f>
        <v>16.171586130759103</v>
      </c>
      <c r="L25" s="38">
        <f>'Firing Inaccuracy(Tapping) Raw'!L25+Analysis!$C25</f>
        <v>16.176757809316559</v>
      </c>
      <c r="M25" s="38">
        <f>'Firing Inaccuracy(Tapping) Raw'!M25+Analysis!$C25</f>
        <v>16.17856399599313</v>
      </c>
      <c r="N25" s="38">
        <f>'Firing Inaccuracy(Tapping) Raw'!N25+Analysis!$C25</f>
        <v>16.179194798985698</v>
      </c>
      <c r="O25" s="38">
        <f>'Firing Inaccuracy(Tapping) Raw'!O25+Analysis!$C25</f>
        <v>16.179415104240181</v>
      </c>
      <c r="P25" s="38">
        <f>'Firing Inaccuracy(Tapping) Raw'!P25+Analysis!$C25</f>
        <v>16.179492044910607</v>
      </c>
      <c r="Q25" s="38">
        <f>'Firing Inaccuracy(Tapping) Raw'!Q25+Analysis!$C25</f>
        <v>16.179518916111562</v>
      </c>
      <c r="R25" s="38">
        <f>'Firing Inaccuracy(Tapping) Raw'!R25+Analysis!$C25</f>
        <v>16.179528300763881</v>
      </c>
      <c r="S25" s="38">
        <f>'Firing Inaccuracy(Tapping) Raw'!S25+Analysis!$C25</f>
        <v>16.179531578313672</v>
      </c>
      <c r="T25" s="38">
        <f>'Firing Inaccuracy(Tapping) Raw'!T25+Analysis!$C25</f>
        <v>16.179532722983957</v>
      </c>
    </row>
    <row r="26" spans="1:20" ht="15.75" customHeight="1" x14ac:dyDescent="0.15">
      <c r="A26" s="9" t="s">
        <v>165</v>
      </c>
      <c r="B26" s="89">
        <f>'Firing Inaccuracy(Tapping) Raw'!B26</f>
        <v>0.17</v>
      </c>
      <c r="C26" s="15">
        <f>'Raw Values'!V26</f>
        <v>3.42</v>
      </c>
      <c r="D26" s="22">
        <f>'Raw Values'!AE26</f>
        <v>0.349993</v>
      </c>
      <c r="E26" s="176"/>
      <c r="F26" s="38">
        <f>'Firing Inaccuracy(Tapping) Raw'!F26+Analysis!$C26</f>
        <v>14.43</v>
      </c>
      <c r="G26" s="38">
        <f>'Firing Inaccuracy(Tapping) Raw'!G26+Analysis!$C26</f>
        <v>15.547640435451516</v>
      </c>
      <c r="H26" s="38">
        <f>'Firing Inaccuracy(Tapping) Raw'!H26+Analysis!$C26</f>
        <v>15.912880243333463</v>
      </c>
      <c r="I26" s="38">
        <f>'Firing Inaccuracy(Tapping) Raw'!I26+Analysis!$C26</f>
        <v>16.032238950329194</v>
      </c>
      <c r="J26" s="38">
        <f>'Firing Inaccuracy(Tapping) Raw'!J26+Analysis!$C26</f>
        <v>16.071244832569441</v>
      </c>
      <c r="K26" s="38">
        <f>'Firing Inaccuracy(Tapping) Raw'!K26+Analysis!$C26</f>
        <v>16.083991777368318</v>
      </c>
      <c r="L26" s="38">
        <f>'Firing Inaccuracy(Tapping) Raw'!L26+Analysis!$C26</f>
        <v>16.088157420916765</v>
      </c>
      <c r="M26" s="38">
        <f>'Firing Inaccuracy(Tapping) Raw'!M26+Analysis!$C26</f>
        <v>16.089518734270399</v>
      </c>
      <c r="N26" s="38">
        <f>'Firing Inaccuracy(Tapping) Raw'!N26+Analysis!$C26</f>
        <v>16.089963605278978</v>
      </c>
      <c r="O26" s="38">
        <f>'Firing Inaccuracy(Tapping) Raw'!O26+Analysis!$C26</f>
        <v>16.090108987099956</v>
      </c>
      <c r="P26" s="38">
        <f>'Firing Inaccuracy(Tapping) Raw'!P26+Analysis!$C26</f>
        <v>16.090156497217414</v>
      </c>
      <c r="Q26" s="38">
        <f>'Firing Inaccuracy(Tapping) Raw'!Q26+Analysis!$C26</f>
        <v>16.090172023307581</v>
      </c>
      <c r="R26" s="38">
        <f>'Firing Inaccuracy(Tapping) Raw'!R26+Analysis!$C26</f>
        <v>16.090177097163185</v>
      </c>
      <c r="S26" s="38">
        <f>'Firing Inaccuracy(Tapping) Raw'!S26+Analysis!$C26</f>
        <v>16.090178755276106</v>
      </c>
      <c r="T26" s="38">
        <f>'Firing Inaccuracy(Tapping) Raw'!T26+Analysis!$C26</f>
        <v>16.090179297139862</v>
      </c>
    </row>
    <row r="27" spans="1:20" ht="15.75" customHeight="1" x14ac:dyDescent="0.15">
      <c r="A27" s="39"/>
      <c r="B27" s="104"/>
      <c r="C27" s="43"/>
      <c r="D27" s="192"/>
      <c r="E27" s="19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15.75" customHeight="1" x14ac:dyDescent="0.15">
      <c r="A28" s="1" t="s">
        <v>68</v>
      </c>
      <c r="B28" s="197" t="s">
        <v>238</v>
      </c>
      <c r="C28" s="4" t="s">
        <v>234</v>
      </c>
      <c r="D28" s="7" t="s">
        <v>27</v>
      </c>
      <c r="E28" s="174"/>
      <c r="F28" s="175">
        <v>1</v>
      </c>
      <c r="G28" s="175">
        <v>2</v>
      </c>
      <c r="H28" s="175">
        <v>3</v>
      </c>
      <c r="I28" s="175">
        <v>4</v>
      </c>
      <c r="J28" s="175">
        <v>5</v>
      </c>
      <c r="K28" s="175">
        <v>6</v>
      </c>
      <c r="L28" s="175">
        <v>7</v>
      </c>
      <c r="M28" s="175">
        <v>8</v>
      </c>
      <c r="N28" s="175">
        <v>9</v>
      </c>
      <c r="O28" s="175">
        <v>10</v>
      </c>
      <c r="P28" s="175">
        <v>11</v>
      </c>
      <c r="Q28" s="175">
        <v>12</v>
      </c>
      <c r="R28" s="175">
        <v>13</v>
      </c>
      <c r="S28" s="175">
        <v>14</v>
      </c>
      <c r="T28" s="175">
        <v>15</v>
      </c>
    </row>
    <row r="29" spans="1:20" ht="15.75" customHeight="1" x14ac:dyDescent="0.15">
      <c r="A29" s="36" t="s">
        <v>166</v>
      </c>
      <c r="B29" s="89">
        <f>'Firing Inaccuracy(Tapping) Raw'!B29</f>
        <v>0.25</v>
      </c>
      <c r="C29" s="15">
        <f>'Raw Values'!V29</f>
        <v>7.8</v>
      </c>
      <c r="D29" s="22">
        <f>'Raw Values'!AE29</f>
        <v>0.36799999999999999</v>
      </c>
      <c r="E29" s="176"/>
      <c r="F29" s="38">
        <f>'Firing Inaccuracy(Tapping) Raw'!F29+Analysis!$C29</f>
        <v>7.01</v>
      </c>
      <c r="G29" s="38">
        <f>'Firing Inaccuracy(Tapping) Raw'!G29+Analysis!$C29</f>
        <v>8.6421000444180844</v>
      </c>
      <c r="H29" s="38">
        <f>'Firing Inaccuracy(Tapping) Raw'!H29+Analysis!$C29</f>
        <v>8.9836065258269961</v>
      </c>
      <c r="I29" s="38">
        <f>'Firing Inaccuracy(Tapping) Raw'!I29+Analysis!$C29</f>
        <v>9.0550645698624503</v>
      </c>
      <c r="J29" s="38">
        <f>'Firing Inaccuracy(Tapping) Raw'!J29+Analysis!$C29</f>
        <v>9.0700167079194109</v>
      </c>
      <c r="K29" s="38">
        <f>'Firing Inaccuracy(Tapping) Raw'!K29+Analysis!$C29</f>
        <v>9.0731453470459389</v>
      </c>
      <c r="L29" s="38">
        <f>'Firing Inaccuracy(Tapping) Raw'!L29+Analysis!$C29</f>
        <v>9.0737999947456025</v>
      </c>
      <c r="M29" s="38">
        <f>'Firing Inaccuracy(Tapping) Raw'!M29+Analysis!$C29</f>
        <v>9.0739369755840258</v>
      </c>
      <c r="N29" s="38">
        <f>'Firing Inaccuracy(Tapping) Raw'!N29+Analysis!$C29</f>
        <v>9.0739656379471629</v>
      </c>
      <c r="O29" s="38">
        <f>'Firing Inaccuracy(Tapping) Raw'!O29+Analysis!$C29</f>
        <v>9.0739716353630797</v>
      </c>
      <c r="P29" s="38">
        <f>'Firing Inaccuracy(Tapping) Raw'!P29+Analysis!$C29</f>
        <v>9.0739728902839492</v>
      </c>
      <c r="Q29" s="38">
        <f>'Firing Inaccuracy(Tapping) Raw'!Q29+Analysis!$C29</f>
        <v>9.0739731528681045</v>
      </c>
      <c r="R29" s="38">
        <f>'Firing Inaccuracy(Tapping) Raw'!R29+Analysis!$C29</f>
        <v>9.0739732078121556</v>
      </c>
      <c r="S29" s="38">
        <f>'Firing Inaccuracy(Tapping) Raw'!S29+Analysis!$C29</f>
        <v>9.0739732193088471</v>
      </c>
      <c r="T29" s="38">
        <f>'Firing Inaccuracy(Tapping) Raw'!T29+Analysis!$C29</f>
        <v>9.0739732217144571</v>
      </c>
    </row>
    <row r="30" spans="1:20" ht="15.75" customHeight="1" x14ac:dyDescent="0.15">
      <c r="A30" s="35" t="s">
        <v>168</v>
      </c>
      <c r="B30" s="89">
        <f>'Firing Inaccuracy(Tapping) Raw'!B30</f>
        <v>0.25</v>
      </c>
      <c r="C30" s="15">
        <f>'Raw Values'!V30</f>
        <v>7.29</v>
      </c>
      <c r="D30" s="22">
        <f>'Raw Values'!AE30</f>
        <v>0.42972700000000003</v>
      </c>
      <c r="E30" s="176"/>
      <c r="F30" s="38">
        <f>'Firing Inaccuracy(Tapping) Raw'!F30+Analysis!$C30</f>
        <v>5.4</v>
      </c>
      <c r="G30" s="38">
        <f>'Firing Inaccuracy(Tapping) Raw'!G30+Analysis!$C30</f>
        <v>7.3096897915775543</v>
      </c>
      <c r="H30" s="38">
        <f>'Firing Inaccuracy(Tapping) Raw'!H30+Analysis!$C30</f>
        <v>7.8099524939171321</v>
      </c>
      <c r="I30" s="38">
        <f>'Firing Inaccuracy(Tapping) Raw'!I30+Analysis!$C30</f>
        <v>7.9410014069164312</v>
      </c>
      <c r="J30" s="38">
        <f>'Firing Inaccuracy(Tapping) Raw'!J30+Analysis!$C30</f>
        <v>7.9753310051814648</v>
      </c>
      <c r="K30" s="38">
        <f>'Firing Inaccuracy(Tapping) Raw'!K30+Analysis!$C30</f>
        <v>7.9843239932961003</v>
      </c>
      <c r="L30" s="38">
        <f>'Firing Inaccuracy(Tapping) Raw'!L30+Analysis!$C30</f>
        <v>7.986679798179269</v>
      </c>
      <c r="M30" s="38">
        <f>'Firing Inaccuracy(Tapping) Raw'!M30+Analysis!$C30</f>
        <v>7.9872969252761603</v>
      </c>
      <c r="N30" s="38">
        <f>'Firing Inaccuracy(Tapping) Raw'!N30+Analysis!$C30</f>
        <v>7.9874585880082645</v>
      </c>
      <c r="O30" s="38">
        <f>'Firing Inaccuracy(Tapping) Raw'!O30+Analysis!$C30</f>
        <v>7.9875009372084254</v>
      </c>
      <c r="P30" s="38">
        <f>'Firing Inaccuracy(Tapping) Raw'!P30+Analysis!$C30</f>
        <v>7.987512031012983</v>
      </c>
      <c r="Q30" s="38">
        <f>'Firing Inaccuracy(Tapping) Raw'!Q30+Analysis!$C30</f>
        <v>7.9875149371481431</v>
      </c>
      <c r="R30" s="38">
        <f>'Firing Inaccuracy(Tapping) Raw'!R30+Analysis!$C30</f>
        <v>7.9875156984398643</v>
      </c>
      <c r="S30" s="38">
        <f>'Firing Inaccuracy(Tapping) Raw'!S30+Analysis!$C30</f>
        <v>7.9875158978679899</v>
      </c>
      <c r="T30" s="38">
        <f>'Firing Inaccuracy(Tapping) Raw'!T30+Analysis!$C30</f>
        <v>7.9875159501102182</v>
      </c>
    </row>
    <row r="31" spans="1:20" ht="15.75" customHeight="1" x14ac:dyDescent="0.15">
      <c r="A31" s="35" t="s">
        <v>169</v>
      </c>
      <c r="B31" s="89">
        <f>'Firing Inaccuracy(Tapping) Raw'!B31</f>
        <v>0.25</v>
      </c>
      <c r="C31" s="15">
        <f>'Raw Values'!V31</f>
        <v>6.05</v>
      </c>
      <c r="D31" s="22">
        <f>'Raw Values'!AE31</f>
        <v>0.25</v>
      </c>
      <c r="E31" s="176"/>
      <c r="F31" s="38">
        <f>'Firing Inaccuracy(Tapping) Raw'!F31+Analysis!$C31</f>
        <v>10.45</v>
      </c>
      <c r="G31" s="38">
        <f>'Firing Inaccuracy(Tapping) Raw'!G31+Analysis!$C31</f>
        <v>11.055</v>
      </c>
      <c r="H31" s="38">
        <f>'Firing Inaccuracy(Tapping) Raw'!H31+Analysis!$C31</f>
        <v>11.115499999999999</v>
      </c>
      <c r="I31" s="38">
        <f>'Firing Inaccuracy(Tapping) Raw'!I31+Analysis!$C31</f>
        <v>11.121549999999999</v>
      </c>
      <c r="J31" s="38">
        <f>'Firing Inaccuracy(Tapping) Raw'!J31+Analysis!$C31</f>
        <v>11.122154999999999</v>
      </c>
      <c r="K31" s="38">
        <f>'Firing Inaccuracy(Tapping) Raw'!K31+Analysis!$C31</f>
        <v>11.122215499999999</v>
      </c>
      <c r="L31" s="38">
        <f>'Firing Inaccuracy(Tapping) Raw'!L31+Analysis!$C31</f>
        <v>11.122221549999999</v>
      </c>
      <c r="M31" s="38">
        <f>'Firing Inaccuracy(Tapping) Raw'!M31+Analysis!$C31</f>
        <v>11.122222154999999</v>
      </c>
      <c r="N31" s="38">
        <f>'Firing Inaccuracy(Tapping) Raw'!N31+Analysis!$C31</f>
        <v>11.122222215499999</v>
      </c>
      <c r="O31" s="38">
        <f>'Firing Inaccuracy(Tapping) Raw'!O31+Analysis!$C31</f>
        <v>11.122222221549999</v>
      </c>
      <c r="P31" s="38">
        <f>'Firing Inaccuracy(Tapping) Raw'!P31+Analysis!$C31</f>
        <v>11.122222222154999</v>
      </c>
      <c r="Q31" s="38">
        <f>'Firing Inaccuracy(Tapping) Raw'!Q31+Analysis!$C31</f>
        <v>11.1222222222155</v>
      </c>
      <c r="R31" s="38">
        <f>'Firing Inaccuracy(Tapping) Raw'!R31+Analysis!$C31</f>
        <v>11.122222222221549</v>
      </c>
      <c r="S31" s="38">
        <f>'Firing Inaccuracy(Tapping) Raw'!S31+Analysis!$C31</f>
        <v>11.122222222222154</v>
      </c>
      <c r="T31" s="38">
        <f>'Firing Inaccuracy(Tapping) Raw'!T31+Analysis!$C31</f>
        <v>11.122222222222215</v>
      </c>
    </row>
    <row r="32" spans="1:20" ht="15.75" customHeight="1" x14ac:dyDescent="0.15">
      <c r="A32" s="36" t="s">
        <v>170</v>
      </c>
      <c r="B32" s="89">
        <f>'Firing Inaccuracy(Tapping) Raw'!B32</f>
        <v>0.25</v>
      </c>
      <c r="C32" s="15">
        <f>'Raw Values'!V32</f>
        <v>7</v>
      </c>
      <c r="D32" s="22">
        <f>'Raw Values'!AE32</f>
        <v>0.3</v>
      </c>
      <c r="E32" s="176"/>
      <c r="F32" s="38">
        <f>'Firing Inaccuracy(Tapping) Raw'!F32+Analysis!$C32</f>
        <v>9.3699999999999992</v>
      </c>
      <c r="G32" s="38">
        <f>'Firing Inaccuracy(Tapping) Raw'!G32+Analysis!$C32</f>
        <v>10.397459487335448</v>
      </c>
      <c r="H32" s="38">
        <f>'Firing Inaccuracy(Tapping) Raw'!H32+Analysis!$C32</f>
        <v>10.548269915637679</v>
      </c>
      <c r="I32" s="38">
        <f>'Firing Inaccuracy(Tapping) Raw'!I32+Analysis!$C32</f>
        <v>10.570405859258859</v>
      </c>
      <c r="J32" s="38">
        <f>'Firing Inaccuracy(Tapping) Raw'!J32+Analysis!$C32</f>
        <v>10.573654971442387</v>
      </c>
      <c r="K32" s="38">
        <f>'Firing Inaccuracy(Tapping) Raw'!K32+Analysis!$C32</f>
        <v>10.574131875890728</v>
      </c>
      <c r="L32" s="38">
        <f>'Firing Inaccuracy(Tapping) Raw'!L32+Analysis!$C32</f>
        <v>10.574201875890727</v>
      </c>
      <c r="M32" s="38">
        <f>'Firing Inaccuracy(Tapping) Raw'!M32+Analysis!$C32</f>
        <v>10.574212150485602</v>
      </c>
      <c r="N32" s="38">
        <f>'Firing Inaccuracy(Tapping) Raw'!N32+Analysis!$C32</f>
        <v>10.574213658589885</v>
      </c>
      <c r="O32" s="38">
        <f>'Firing Inaccuracy(Tapping) Raw'!O32+Analysis!$C32</f>
        <v>10.574213879949321</v>
      </c>
      <c r="P32" s="38">
        <f>'Firing Inaccuracy(Tapping) Raw'!P32+Analysis!$C32</f>
        <v>10.574213912440442</v>
      </c>
      <c r="Q32" s="38">
        <f>'Firing Inaccuracy(Tapping) Raw'!Q32+Analysis!$C32</f>
        <v>10.574213917209487</v>
      </c>
      <c r="R32" s="38">
        <f>'Firing Inaccuracy(Tapping) Raw'!R32+Analysis!$C32</f>
        <v>10.574213917909487</v>
      </c>
      <c r="S32" s="38">
        <f>'Firing Inaccuracy(Tapping) Raw'!S32+Analysis!$C32</f>
        <v>10.574213918012234</v>
      </c>
      <c r="T32" s="38">
        <f>'Firing Inaccuracy(Tapping) Raw'!T32+Analysis!$C32</f>
        <v>10.574213918027315</v>
      </c>
    </row>
    <row r="33" spans="1:20" ht="15.75" customHeight="1" x14ac:dyDescent="0.15">
      <c r="A33" s="35" t="s">
        <v>171</v>
      </c>
      <c r="B33" s="89">
        <f>'Firing Inaccuracy(Tapping) Raw'!B33</f>
        <v>0.25</v>
      </c>
      <c r="C33" s="15">
        <f>'Raw Values'!V33</f>
        <v>7</v>
      </c>
      <c r="D33" s="22">
        <f>'Raw Values'!AE33</f>
        <v>0.33894099999999999</v>
      </c>
      <c r="E33" s="176"/>
      <c r="F33" s="38">
        <f>'Firing Inaccuracy(Tapping) Raw'!F33+Analysis!$C33</f>
        <v>5.5</v>
      </c>
      <c r="G33" s="38">
        <f>'Firing Inaccuracy(Tapping) Raw'!G33+Analysis!$C33</f>
        <v>6.7808743882346771</v>
      </c>
      <c r="H33" s="38">
        <f>'Firing Inaccuracy(Tapping) Raw'!H33+Analysis!$C33</f>
        <v>7.0152514165826148</v>
      </c>
      <c r="I33" s="38">
        <f>'Firing Inaccuracy(Tapping) Raw'!I33+Analysis!$C33</f>
        <v>7.058138206982818</v>
      </c>
      <c r="J33" s="38">
        <f>'Firing Inaccuracy(Tapping) Raw'!J33+Analysis!$C33</f>
        <v>7.0659857200424199</v>
      </c>
      <c r="K33" s="38">
        <f>'Firing Inaccuracy(Tapping) Raw'!K33+Analysis!$C33</f>
        <v>7.0674216741123308</v>
      </c>
      <c r="L33" s="38">
        <f>'Firing Inaccuracy(Tapping) Raw'!L33+Analysis!$C33</f>
        <v>7.067684427939593</v>
      </c>
      <c r="M33" s="38">
        <f>'Firing Inaccuracy(Tapping) Raw'!M33+Analysis!$C33</f>
        <v>7.0677325071749859</v>
      </c>
      <c r="N33" s="38">
        <f>'Firing Inaccuracy(Tapping) Raw'!N33+Analysis!$C33</f>
        <v>7.0677413048123032</v>
      </c>
      <c r="O33" s="38">
        <f>'Firing Inaccuracy(Tapping) Raw'!O33+Analysis!$C33</f>
        <v>7.0677429146220625</v>
      </c>
      <c r="P33" s="38">
        <f>'Firing Inaccuracy(Tapping) Raw'!P33+Analysis!$C33</f>
        <v>7.067743209188361</v>
      </c>
      <c r="Q33" s="38">
        <f>'Firing Inaccuracy(Tapping) Raw'!Q33+Analysis!$C33</f>
        <v>7.0677432630887083</v>
      </c>
      <c r="R33" s="38">
        <f>'Firing Inaccuracy(Tapping) Raw'!R33+Analysis!$C33</f>
        <v>7.0677432729515042</v>
      </c>
      <c r="S33" s="38">
        <f>'Firing Inaccuracy(Tapping) Raw'!S33+Analysis!$C33</f>
        <v>7.0677432747562188</v>
      </c>
      <c r="T33" s="38">
        <f>'Firing Inaccuracy(Tapping) Raw'!T33+Analysis!$C33</f>
        <v>7.0677432750864488</v>
      </c>
    </row>
    <row r="34" spans="1:20" ht="15.75" customHeight="1" x14ac:dyDescent="0.15">
      <c r="A34" s="35" t="s">
        <v>172</v>
      </c>
      <c r="B34" s="89">
        <f>'Firing Inaccuracy(Tapping) Raw'!B34</f>
        <v>0.25</v>
      </c>
      <c r="C34" s="15">
        <f>'Raw Values'!V34</f>
        <v>12</v>
      </c>
      <c r="D34" s="22">
        <f>'Raw Values'!AE34</f>
        <v>0.33894099999999999</v>
      </c>
      <c r="E34" s="176"/>
      <c r="F34" s="38">
        <f>'Firing Inaccuracy(Tapping) Raw'!F34+Analysis!$C34</f>
        <v>5.4</v>
      </c>
      <c r="G34" s="38">
        <f>'Firing Inaccuracy(Tapping) Raw'!G34+Analysis!$C34</f>
        <v>6.6808743882346775</v>
      </c>
      <c r="H34" s="38">
        <f>'Firing Inaccuracy(Tapping) Raw'!H34+Analysis!$C34</f>
        <v>6.9152514165826151</v>
      </c>
      <c r="I34" s="38">
        <f>'Firing Inaccuracy(Tapping) Raw'!I34+Analysis!$C34</f>
        <v>6.9581382069828184</v>
      </c>
      <c r="J34" s="38">
        <f>'Firing Inaccuracy(Tapping) Raw'!J34+Analysis!$C34</f>
        <v>6.9659857200424202</v>
      </c>
      <c r="K34" s="38">
        <f>'Firing Inaccuracy(Tapping) Raw'!K34+Analysis!$C34</f>
        <v>6.9674216741123312</v>
      </c>
      <c r="L34" s="38">
        <f>'Firing Inaccuracy(Tapping) Raw'!L34+Analysis!$C34</f>
        <v>6.9676844279395933</v>
      </c>
      <c r="M34" s="38">
        <f>'Firing Inaccuracy(Tapping) Raw'!M34+Analysis!$C34</f>
        <v>6.9677325071749863</v>
      </c>
      <c r="N34" s="38">
        <f>'Firing Inaccuracy(Tapping) Raw'!N34+Analysis!$C34</f>
        <v>6.9677413048123036</v>
      </c>
      <c r="O34" s="38">
        <f>'Firing Inaccuracy(Tapping) Raw'!O34+Analysis!$C34</f>
        <v>6.9677429146220629</v>
      </c>
      <c r="P34" s="38">
        <f>'Firing Inaccuracy(Tapping) Raw'!P34+Analysis!$C34</f>
        <v>6.9677432091883613</v>
      </c>
      <c r="Q34" s="38">
        <f>'Firing Inaccuracy(Tapping) Raw'!Q34+Analysis!$C34</f>
        <v>6.9677432630887086</v>
      </c>
      <c r="R34" s="38">
        <f>'Firing Inaccuracy(Tapping) Raw'!R34+Analysis!$C34</f>
        <v>6.9677432729515045</v>
      </c>
      <c r="S34" s="38">
        <f>'Firing Inaccuracy(Tapping) Raw'!S34+Analysis!$C34</f>
        <v>6.9677432747562191</v>
      </c>
      <c r="T34" s="38">
        <f>'Firing Inaccuracy(Tapping) Raw'!T34+Analysis!$C34</f>
        <v>6.9677432750864492</v>
      </c>
    </row>
    <row r="35" spans="1:20" ht="15.75" customHeight="1" x14ac:dyDescent="0.15">
      <c r="A35" s="36" t="s">
        <v>173</v>
      </c>
      <c r="B35" s="89">
        <f>'Firing Inaccuracy(Tapping) Raw'!B35</f>
        <v>0.25</v>
      </c>
      <c r="C35" s="15">
        <f>'Raw Values'!V35</f>
        <v>7.95</v>
      </c>
      <c r="D35" s="22">
        <f>'Raw Values'!AE35</f>
        <v>0.45288600000000001</v>
      </c>
      <c r="E35" s="176"/>
      <c r="F35" s="38">
        <f>'Firing Inaccuracy(Tapping) Raw'!F35+Analysis!$C35</f>
        <v>6.4099999999999993</v>
      </c>
      <c r="G35" s="38">
        <f>'Firing Inaccuracy(Tapping) Raw'!G35+Analysis!$C35</f>
        <v>8.6402411834962152</v>
      </c>
      <c r="H35" s="38">
        <f>'Firing Inaccuracy(Tapping) Raw'!H35+Analysis!$C35</f>
        <v>9.2658985088500021</v>
      </c>
      <c r="I35" s="38">
        <f>'Firing Inaccuracy(Tapping) Raw'!I35+Analysis!$C35</f>
        <v>9.4414163369959283</v>
      </c>
      <c r="J35" s="38">
        <f>'Firing Inaccuracy(Tapping) Raw'!J35+Analysis!$C35</f>
        <v>9.4906549645140235</v>
      </c>
      <c r="K35" s="38">
        <f>'Firing Inaccuracy(Tapping) Raw'!K35+Analysis!$C35</f>
        <v>9.5044680481504606</v>
      </c>
      <c r="L35" s="38">
        <f>'Firing Inaccuracy(Tapping) Raw'!L35+Analysis!$C35</f>
        <v>9.5083430806029217</v>
      </c>
      <c r="M35" s="38">
        <f>'Firing Inaccuracy(Tapping) Raw'!M35+Analysis!$C35</f>
        <v>9.5094301569504509</v>
      </c>
      <c r="N35" s="38">
        <f>'Firing Inaccuracy(Tapping) Raw'!N35+Analysis!$C35</f>
        <v>9.5097351182636416</v>
      </c>
      <c r="O35" s="38">
        <f>'Firing Inaccuracy(Tapping) Raw'!O35+Analysis!$C35</f>
        <v>9.5098206701227674</v>
      </c>
      <c r="P35" s="38">
        <f>'Firing Inaccuracy(Tapping) Raw'!P35+Analysis!$C35</f>
        <v>9.5098446702837176</v>
      </c>
      <c r="Q35" s="38">
        <f>'Firing Inaccuracy(Tapping) Raw'!Q35+Analysis!$C35</f>
        <v>9.5098514031324424</v>
      </c>
      <c r="R35" s="38">
        <f>'Firing Inaccuracy(Tapping) Raw'!R35+Analysis!$C35</f>
        <v>9.5098532919219405</v>
      </c>
      <c r="S35" s="38">
        <f>'Firing Inaccuracy(Tapping) Raw'!S35+Analysis!$C35</f>
        <v>9.5098538217906352</v>
      </c>
      <c r="T35" s="38">
        <f>'Firing Inaccuracy(Tapping) Raw'!T35+Analysis!$C35</f>
        <v>9.509853970436545</v>
      </c>
    </row>
    <row r="36" spans="1:20" ht="15.75" customHeight="1" x14ac:dyDescent="0.15">
      <c r="A36" s="39"/>
      <c r="B36" s="104"/>
      <c r="C36" s="43"/>
      <c r="D36" s="192"/>
      <c r="E36" s="194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.75" customHeight="1" x14ac:dyDescent="0.15">
      <c r="A37" s="1" t="s">
        <v>79</v>
      </c>
      <c r="B37" s="197" t="s">
        <v>238</v>
      </c>
      <c r="C37" s="4" t="s">
        <v>234</v>
      </c>
      <c r="D37" s="7" t="s">
        <v>27</v>
      </c>
      <c r="E37" s="174"/>
      <c r="F37" s="175">
        <v>1</v>
      </c>
      <c r="G37" s="175">
        <v>2</v>
      </c>
      <c r="H37" s="175">
        <v>3</v>
      </c>
      <c r="I37" s="175">
        <v>4</v>
      </c>
      <c r="J37" s="175">
        <v>5</v>
      </c>
      <c r="K37" s="175">
        <v>6</v>
      </c>
      <c r="L37" s="175">
        <v>7</v>
      </c>
      <c r="M37" s="175">
        <v>8</v>
      </c>
      <c r="N37" s="175">
        <v>9</v>
      </c>
      <c r="O37" s="175">
        <v>10</v>
      </c>
      <c r="P37" s="175">
        <v>11</v>
      </c>
      <c r="Q37" s="175">
        <v>12</v>
      </c>
      <c r="R37" s="175">
        <v>13</v>
      </c>
      <c r="S37" s="175">
        <v>14</v>
      </c>
      <c r="T37" s="175">
        <v>15</v>
      </c>
    </row>
    <row r="38" spans="1:20" ht="15.75" customHeight="1" x14ac:dyDescent="0.15">
      <c r="A38" s="9" t="s">
        <v>174</v>
      </c>
      <c r="B38" s="89">
        <f>'Firing Inaccuracy(Tapping) Raw'!B38</f>
        <v>0.25</v>
      </c>
      <c r="C38" s="15">
        <f>'Raw Values'!V38</f>
        <v>3.56</v>
      </c>
      <c r="D38" s="22">
        <f>'Raw Values'!AE38</f>
        <v>0.82893099999999997</v>
      </c>
      <c r="E38" s="176"/>
      <c r="F38" s="38">
        <f>'Firing Inaccuracy(Tapping) Raw'!F38+Analysis!$C38</f>
        <v>9.6999999999999993</v>
      </c>
      <c r="G38" s="38">
        <f>'Firing Inaccuracy(Tapping) Raw'!G38+Analysis!$C38</f>
        <v>11.477692913266822</v>
      </c>
      <c r="H38" s="38">
        <f>'Firing Inaccuracy(Tapping) Raw'!H38+Analysis!$C38</f>
        <v>12.365387321659821</v>
      </c>
      <c r="I38" s="38">
        <f>'Firing Inaccuracy(Tapping) Raw'!I38+Analysis!$C38</f>
        <v>12.808659248330276</v>
      </c>
      <c r="J38" s="38">
        <f>'Firing Inaccuracy(Tapping) Raw'!J38+Analysis!$C38</f>
        <v>13.030007945715726</v>
      </c>
      <c r="K38" s="38">
        <f>'Firing Inaccuracy(Tapping) Raw'!K38+Analysis!$C38</f>
        <v>13.140538847598577</v>
      </c>
      <c r="L38" s="38">
        <f>'Firing Inaccuracy(Tapping) Raw'!L38+Analysis!$C38</f>
        <v>13.19573266809693</v>
      </c>
      <c r="M38" s="38">
        <f>'Firing Inaccuracy(Tapping) Raw'!M38+Analysis!$C38</f>
        <v>13.223293809545257</v>
      </c>
      <c r="N38" s="38">
        <f>'Firing Inaccuracy(Tapping) Raw'!N38+Analysis!$C38</f>
        <v>13.237056519049256</v>
      </c>
      <c r="O38" s="38">
        <f>'Firing Inaccuracy(Tapping) Raw'!O38+Analysis!$C38</f>
        <v>13.243928954766281</v>
      </c>
      <c r="P38" s="38">
        <f>'Firing Inaccuracy(Tapping) Raw'!P38+Analysis!$C38</f>
        <v>13.247360718887359</v>
      </c>
      <c r="Q38" s="38">
        <f>'Firing Inaccuracy(Tapping) Raw'!Q38+Analysis!$C38</f>
        <v>13.249074376965462</v>
      </c>
      <c r="R38" s="38">
        <f>'Firing Inaccuracy(Tapping) Raw'!R38+Analysis!$C38</f>
        <v>13.249930095454564</v>
      </c>
      <c r="S38" s="38">
        <f>'Firing Inaccuracy(Tapping) Raw'!S38+Analysis!$C38</f>
        <v>13.250357400143841</v>
      </c>
      <c r="T38" s="38">
        <f>'Firing Inaccuracy(Tapping) Raw'!T38+Analysis!$C38</f>
        <v>13.250570775570228</v>
      </c>
    </row>
    <row r="39" spans="1:20" ht="15.75" customHeight="1" x14ac:dyDescent="0.15">
      <c r="A39" s="9" t="s">
        <v>176</v>
      </c>
      <c r="B39" s="89">
        <f>'Firing Inaccuracy(Tapping) Raw'!B39</f>
        <v>0.25</v>
      </c>
      <c r="C39" s="15">
        <f>'Raw Values'!V39</f>
        <v>30</v>
      </c>
      <c r="D39" s="22">
        <f>'Raw Values'!AE39</f>
        <v>0.3</v>
      </c>
      <c r="E39" s="176"/>
      <c r="F39" s="38">
        <f>'Firing Inaccuracy(Tapping) Raw'!F39+Analysis!$C39</f>
        <v>12.17</v>
      </c>
      <c r="G39" s="38">
        <f>'Firing Inaccuracy(Tapping) Raw'!G39+Analysis!$C39</f>
        <v>16.573397802866211</v>
      </c>
      <c r="H39" s="38">
        <f>'Firing Inaccuracy(Tapping) Raw'!H39+Analysis!$C39</f>
        <v>17.219728209875775</v>
      </c>
      <c r="I39" s="38">
        <f>'Firing Inaccuracy(Tapping) Raw'!I39+Analysis!$C39</f>
        <v>17.314596539680824</v>
      </c>
      <c r="J39" s="38">
        <f>'Firing Inaccuracy(Tapping) Raw'!J39+Analysis!$C39</f>
        <v>17.328521306181663</v>
      </c>
      <c r="K39" s="38">
        <f>'Firing Inaccuracy(Tapping) Raw'!K39+Analysis!$C39</f>
        <v>17.330565182388838</v>
      </c>
      <c r="L39" s="38">
        <f>'Firing Inaccuracy(Tapping) Raw'!L39+Analysis!$C39</f>
        <v>17.330865182388838</v>
      </c>
      <c r="M39" s="38">
        <f>'Firing Inaccuracy(Tapping) Raw'!M39+Analysis!$C39</f>
        <v>17.330909216366866</v>
      </c>
      <c r="N39" s="38">
        <f>'Firing Inaccuracy(Tapping) Raw'!N39+Analysis!$C39</f>
        <v>17.330915679670937</v>
      </c>
      <c r="O39" s="38">
        <f>'Firing Inaccuracy(Tapping) Raw'!O39+Analysis!$C39</f>
        <v>17.330916628354235</v>
      </c>
      <c r="P39" s="38">
        <f>'Firing Inaccuracy(Tapping) Raw'!P39+Analysis!$C39</f>
        <v>17.330916767601899</v>
      </c>
      <c r="Q39" s="38">
        <f>'Firing Inaccuracy(Tapping) Raw'!Q39+Analysis!$C39</f>
        <v>17.33091678804066</v>
      </c>
      <c r="R39" s="38">
        <f>'Firing Inaccuracy(Tapping) Raw'!R39+Analysis!$C39</f>
        <v>17.330916791040661</v>
      </c>
      <c r="S39" s="38">
        <f>'Firing Inaccuracy(Tapping) Raw'!S39+Analysis!$C39</f>
        <v>17.330916791481002</v>
      </c>
      <c r="T39" s="38">
        <f>'Firing Inaccuracy(Tapping) Raw'!T39+Analysis!$C39</f>
        <v>17.330916791545633</v>
      </c>
    </row>
    <row r="40" spans="1:20" ht="15.75" customHeight="1" x14ac:dyDescent="0.15">
      <c r="A40" s="39"/>
      <c r="B40" s="104"/>
      <c r="C40" s="43"/>
      <c r="D40" s="192"/>
      <c r="E40" s="194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15">
      <c r="A41" s="1" t="s">
        <v>82</v>
      </c>
      <c r="B41" s="197" t="s">
        <v>238</v>
      </c>
      <c r="C41" s="4" t="s">
        <v>234</v>
      </c>
      <c r="D41" s="7" t="s">
        <v>27</v>
      </c>
      <c r="E41" s="174"/>
      <c r="F41" s="175">
        <v>1</v>
      </c>
      <c r="G41" s="175">
        <v>2</v>
      </c>
      <c r="H41" s="175">
        <v>3</v>
      </c>
      <c r="I41" s="175">
        <v>4</v>
      </c>
      <c r="J41" s="175">
        <v>5</v>
      </c>
      <c r="K41" s="175">
        <v>6</v>
      </c>
      <c r="L41" s="175">
        <v>7</v>
      </c>
      <c r="M41" s="175">
        <v>8</v>
      </c>
      <c r="N41" s="175">
        <v>9</v>
      </c>
      <c r="O41" s="175">
        <v>10</v>
      </c>
      <c r="P41" s="175">
        <v>11</v>
      </c>
      <c r="Q41" s="175">
        <v>12</v>
      </c>
      <c r="R41" s="175">
        <v>13</v>
      </c>
      <c r="S41" s="175">
        <v>14</v>
      </c>
      <c r="T41" s="175">
        <v>15</v>
      </c>
    </row>
    <row r="42" spans="1:20" ht="15.75" customHeight="1" x14ac:dyDescent="0.15">
      <c r="A42" s="9" t="s">
        <v>177</v>
      </c>
      <c r="B42" s="89">
        <f>'Firing Inaccuracy(Tapping) Raw'!B42</f>
        <v>1.4550000000000001</v>
      </c>
      <c r="C42" s="15">
        <f>'Raw Values'!V42</f>
        <v>53.85</v>
      </c>
      <c r="D42" s="22">
        <f>'Raw Values'!AE42</f>
        <v>0.34538999999999997</v>
      </c>
      <c r="E42" s="176"/>
      <c r="F42" s="38">
        <f>'Firing Inaccuracy(Tapping) Raw'!F42+Analysis!$C42</f>
        <v>2.2000000000000002</v>
      </c>
      <c r="G42" s="38">
        <f>'Firing Inaccuracy(Tapping) Raw'!G42+Analysis!$C42</f>
        <v>2.2033003234547932</v>
      </c>
      <c r="H42" s="38">
        <f>'Firing Inaccuracy(Tapping) Raw'!H42+Analysis!$C42</f>
        <v>2.2033005257228511</v>
      </c>
      <c r="I42" s="38">
        <f>'Firing Inaccuracy(Tapping) Raw'!I42+Analysis!$C42</f>
        <v>2.2033005257352474</v>
      </c>
      <c r="J42" s="38">
        <f>'Firing Inaccuracy(Tapping) Raw'!J42+Analysis!$C42</f>
        <v>2.2033005257352483</v>
      </c>
      <c r="K42" s="38">
        <f>'Firing Inaccuracy(Tapping) Raw'!K42+Analysis!$C42</f>
        <v>2.2033005257352483</v>
      </c>
      <c r="L42" s="38">
        <f>'Firing Inaccuracy(Tapping) Raw'!L42+Analysis!$C42</f>
        <v>2.2033005257352483</v>
      </c>
      <c r="M42" s="38">
        <f>'Firing Inaccuracy(Tapping) Raw'!M42+Analysis!$C42</f>
        <v>2.2033005257352483</v>
      </c>
      <c r="N42" s="38">
        <f>'Firing Inaccuracy(Tapping) Raw'!N42+Analysis!$C42</f>
        <v>2.2033005257352483</v>
      </c>
      <c r="O42" s="38">
        <f>'Firing Inaccuracy(Tapping) Raw'!O42+Analysis!$C42</f>
        <v>2.2033005257352483</v>
      </c>
      <c r="P42" s="85"/>
      <c r="Q42" s="85"/>
      <c r="R42" s="85"/>
      <c r="S42" s="85"/>
      <c r="T42" s="85"/>
    </row>
    <row r="43" spans="1:20" ht="15.75" customHeight="1" x14ac:dyDescent="0.15">
      <c r="A43" s="36" t="s">
        <v>179</v>
      </c>
      <c r="B43" s="89">
        <f>'Firing Inaccuracy(Tapping) Raw'!B43</f>
        <v>0.55000000000000004</v>
      </c>
      <c r="C43" s="15">
        <f>'Raw Values'!V43</f>
        <v>18.61</v>
      </c>
      <c r="D43" s="22">
        <f>'Raw Values'!AE43</f>
        <v>0.54433100000000001</v>
      </c>
      <c r="E43" s="176"/>
      <c r="F43" s="38">
        <f>'Firing Inaccuracy(Tapping) Raw'!F43+Analysis!$C43</f>
        <v>2.2999999999999998</v>
      </c>
      <c r="G43" s="38">
        <f>'Firing Inaccuracy(Tapping) Raw'!G43+Analysis!$C43</f>
        <v>4.1169030505213753</v>
      </c>
      <c r="H43" s="38">
        <f>'Firing Inaccuracy(Tapping) Raw'!H43+Analysis!$C43</f>
        <v>4.294288149661293</v>
      </c>
      <c r="I43" s="38">
        <f>'Firing Inaccuracy(Tapping) Raw'!I43+Analysis!$C43</f>
        <v>4.3116063402977449</v>
      </c>
      <c r="J43" s="38">
        <f>'Firing Inaccuracy(Tapping) Raw'!J43+Analysis!$C43</f>
        <v>4.3132971233926867</v>
      </c>
      <c r="K43" s="38">
        <f>'Firing Inaccuracy(Tapping) Raw'!K43+Analysis!$C43</f>
        <v>4.3134621953412609</v>
      </c>
      <c r="L43" s="38">
        <f>'Firing Inaccuracy(Tapping) Raw'!L43+Analysis!$C43</f>
        <v>4.3134783113932187</v>
      </c>
      <c r="M43" s="38">
        <f>'Firing Inaccuracy(Tapping) Raw'!M43+Analysis!$C43</f>
        <v>4.313479884810949</v>
      </c>
      <c r="N43" s="38">
        <f>'Firing Inaccuracy(Tapping) Raw'!N43+Analysis!$C43</f>
        <v>4.313480038424462</v>
      </c>
      <c r="O43" s="38">
        <f>'Firing Inaccuracy(Tapping) Raw'!O43+Analysis!$C43</f>
        <v>4.3134800534218209</v>
      </c>
      <c r="P43" s="38">
        <f>'Firing Inaccuracy(Tapping) Raw'!P43+Analysis!$C43</f>
        <v>4.3134800548860204</v>
      </c>
      <c r="Q43" s="38">
        <f>'Firing Inaccuracy(Tapping) Raw'!Q43+Analysis!$C43</f>
        <v>4.31348005502897</v>
      </c>
      <c r="R43" s="38">
        <f>'Firing Inaccuracy(Tapping) Raw'!R43+Analysis!$C43</f>
        <v>4.3134800550429269</v>
      </c>
      <c r="S43" s="38">
        <f>'Firing Inaccuracy(Tapping) Raw'!S43+Analysis!$C43</f>
        <v>4.3134800550442893</v>
      </c>
      <c r="T43" s="38">
        <f>'Firing Inaccuracy(Tapping) Raw'!T43+Analysis!$C43</f>
        <v>4.3134800550444226</v>
      </c>
    </row>
    <row r="44" spans="1:20" ht="15.75" customHeight="1" x14ac:dyDescent="0.15">
      <c r="A44" s="35" t="s">
        <v>180</v>
      </c>
      <c r="B44" s="89">
        <f>'Firing Inaccuracy(Tapping) Raw'!B44</f>
        <v>0.55000000000000004</v>
      </c>
      <c r="C44" s="15">
        <f>'Raw Values'!V44</f>
        <v>18.61</v>
      </c>
      <c r="D44" s="22">
        <f>'Raw Values'!AE44</f>
        <v>0.54433100000000001</v>
      </c>
      <c r="E44" s="176"/>
      <c r="F44" s="38">
        <f>'Firing Inaccuracy(Tapping) Raw'!F44+Analysis!$C44</f>
        <v>2.2999999999999998</v>
      </c>
      <c r="G44" s="38">
        <f>'Firing Inaccuracy(Tapping) Raw'!G44+Analysis!$C44</f>
        <v>4.1169030505213753</v>
      </c>
      <c r="H44" s="38">
        <f>'Firing Inaccuracy(Tapping) Raw'!H44+Analysis!$C44</f>
        <v>4.294288149661293</v>
      </c>
      <c r="I44" s="38">
        <f>'Firing Inaccuracy(Tapping) Raw'!I44+Analysis!$C44</f>
        <v>4.3116063402977449</v>
      </c>
      <c r="J44" s="38">
        <f>'Firing Inaccuracy(Tapping) Raw'!J44+Analysis!$C44</f>
        <v>4.3132971233926867</v>
      </c>
      <c r="K44" s="38">
        <f>'Firing Inaccuracy(Tapping) Raw'!K44+Analysis!$C44</f>
        <v>4.3134621953412609</v>
      </c>
      <c r="L44" s="38">
        <f>'Firing Inaccuracy(Tapping) Raw'!L44+Analysis!$C44</f>
        <v>4.3134783113932187</v>
      </c>
      <c r="M44" s="38">
        <f>'Firing Inaccuracy(Tapping) Raw'!M44+Analysis!$C44</f>
        <v>4.313479884810949</v>
      </c>
      <c r="N44" s="38">
        <f>'Firing Inaccuracy(Tapping) Raw'!N44+Analysis!$C44</f>
        <v>4.313480038424462</v>
      </c>
      <c r="O44" s="38">
        <f>'Firing Inaccuracy(Tapping) Raw'!O44+Analysis!$C44</f>
        <v>4.3134800534218209</v>
      </c>
      <c r="P44" s="38">
        <f>'Firing Inaccuracy(Tapping) Raw'!P44+Analysis!$C44</f>
        <v>4.3134800548860204</v>
      </c>
      <c r="Q44" s="38">
        <f>'Firing Inaccuracy(Tapping) Raw'!Q44+Analysis!$C44</f>
        <v>4.31348005502897</v>
      </c>
      <c r="R44" s="38">
        <f>'Firing Inaccuracy(Tapping) Raw'!R44+Analysis!$C44</f>
        <v>4.3134800550429269</v>
      </c>
      <c r="S44" s="38">
        <f>'Firing Inaccuracy(Tapping) Raw'!S44+Analysis!$C44</f>
        <v>4.3134800550442893</v>
      </c>
      <c r="T44" s="38">
        <f>'Firing Inaccuracy(Tapping) Raw'!T44+Analysis!$C44</f>
        <v>4.3134800550444226</v>
      </c>
    </row>
    <row r="45" spans="1:20" ht="15.75" customHeight="1" x14ac:dyDescent="0.15">
      <c r="A45" s="9" t="s">
        <v>181</v>
      </c>
      <c r="B45" s="89">
        <f>'Firing Inaccuracy(Tapping) Raw'!B45</f>
        <v>1.25</v>
      </c>
      <c r="C45" s="15">
        <f>'Raw Values'!V45</f>
        <v>22.92</v>
      </c>
      <c r="D45" s="22">
        <f>'Raw Values'!AE45</f>
        <v>0.142096</v>
      </c>
      <c r="E45" s="176"/>
      <c r="F45" s="38">
        <f>'Firing Inaccuracy(Tapping) Raw'!F45+Analysis!$C45</f>
        <v>3.23</v>
      </c>
      <c r="G45" s="38">
        <f>'Firing Inaccuracy(Tapping) Raw'!G45+Analysis!$C45</f>
        <v>3.2300000365885242</v>
      </c>
      <c r="H45" s="38">
        <f>'Firing Inaccuracy(Tapping) Raw'!H45+Analysis!$C45</f>
        <v>3.2300000365885242</v>
      </c>
      <c r="I45" s="38">
        <f>'Firing Inaccuracy(Tapping) Raw'!I45+Analysis!$C45</f>
        <v>3.2300000365885242</v>
      </c>
      <c r="J45" s="38">
        <f>'Firing Inaccuracy(Tapping) Raw'!J45+Analysis!$C45</f>
        <v>3.2300000365885242</v>
      </c>
      <c r="K45" s="38">
        <f>'Firing Inaccuracy(Tapping) Raw'!K45+Analysis!$C45</f>
        <v>3.2300000365885242</v>
      </c>
      <c r="L45" s="38">
        <f>'Firing Inaccuracy(Tapping) Raw'!L45+Analysis!$C45</f>
        <v>3.2300000365885242</v>
      </c>
      <c r="M45" s="38">
        <f>'Firing Inaccuracy(Tapping) Raw'!M45+Analysis!$C45</f>
        <v>3.2300000365885242</v>
      </c>
      <c r="N45" s="38">
        <f>'Firing Inaccuracy(Tapping) Raw'!N45+Analysis!$C45</f>
        <v>3.2300000365885242</v>
      </c>
      <c r="O45" s="38">
        <f>'Firing Inaccuracy(Tapping) Raw'!O45+Analysis!$C45</f>
        <v>3.2300000365885242</v>
      </c>
      <c r="P45" s="85"/>
      <c r="Q45" s="85"/>
      <c r="R45" s="85"/>
      <c r="S45" s="85"/>
      <c r="T45" s="8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4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2.75" customHeight="1" x14ac:dyDescent="0.15"/>
  <cols>
    <col min="1" max="1" width="14.5" customWidth="1"/>
    <col min="2" max="4" width="11.6640625" customWidth="1"/>
    <col min="5" max="5" width="4.5" customWidth="1"/>
    <col min="6" max="20" width="11.6640625" customWidth="1"/>
  </cols>
  <sheetData>
    <row r="1" spans="1:20" ht="15.75" customHeight="1" x14ac:dyDescent="0.15">
      <c r="A1" s="1" t="s">
        <v>0</v>
      </c>
      <c r="B1" s="69" t="s">
        <v>238</v>
      </c>
      <c r="C1" s="4" t="s">
        <v>234</v>
      </c>
      <c r="D1" s="7" t="s">
        <v>27</v>
      </c>
      <c r="E1" s="174"/>
      <c r="F1" s="198">
        <v>1</v>
      </c>
      <c r="G1" s="199">
        <v>2</v>
      </c>
      <c r="H1" s="199">
        <v>3</v>
      </c>
      <c r="I1" s="199">
        <v>4</v>
      </c>
      <c r="J1" s="199">
        <v>5</v>
      </c>
      <c r="K1" s="199">
        <v>6</v>
      </c>
      <c r="L1" s="199">
        <v>7</v>
      </c>
      <c r="M1" s="199">
        <v>8</v>
      </c>
      <c r="N1" s="199">
        <v>9</v>
      </c>
      <c r="O1" s="199">
        <v>10</v>
      </c>
      <c r="P1" s="199">
        <v>11</v>
      </c>
      <c r="Q1" s="199">
        <v>12</v>
      </c>
      <c r="R1" s="199">
        <v>13</v>
      </c>
      <c r="S1" s="199">
        <v>14</v>
      </c>
      <c r="T1" s="199">
        <v>15</v>
      </c>
    </row>
    <row r="2" spans="1:20" ht="15.75" customHeight="1" x14ac:dyDescent="0.15">
      <c r="A2" s="9" t="s">
        <v>142</v>
      </c>
      <c r="B2" s="78">
        <v>0.55000000000000004</v>
      </c>
      <c r="C2" s="15">
        <f>'Raw Values'!V2</f>
        <v>72.23</v>
      </c>
      <c r="D2" s="22">
        <f>'Raw Values'!AE2</f>
        <v>0.81120000000000003</v>
      </c>
      <c r="E2" s="176"/>
      <c r="F2" s="20">
        <v>0</v>
      </c>
      <c r="G2" s="79">
        <f>'Raw Values'!$V2*(0.1^(B2/'Raw Values'!$AE2))</f>
        <v>15.160367368343804</v>
      </c>
      <c r="H2" s="79">
        <f>('Raw Values'!$V2+G2)*(0.1^($B2/'Raw Values'!$AE2))</f>
        <v>18.342379534246387</v>
      </c>
      <c r="I2" s="79">
        <f>('Raw Values'!$V2+H2)*(0.1^($B2/'Raw Values'!$AE2))</f>
        <v>19.010252625837452</v>
      </c>
      <c r="J2" s="79">
        <f>('Raw Values'!$V2+I2)*(0.1^($B2/'Raw Values'!$AE2))</f>
        <v>19.15043262616906</v>
      </c>
      <c r="K2" s="79">
        <f>('Raw Values'!$V2+J2)*(0.1^($B2/'Raw Values'!$AE2))</f>
        <v>19.179855031024687</v>
      </c>
      <c r="L2" s="79">
        <f>('Raw Values'!$V2+K2)*(0.1^($B2/'Raw Values'!$AE2))</f>
        <v>19.186030504740199</v>
      </c>
      <c r="M2" s="190"/>
      <c r="N2" s="190"/>
      <c r="O2" s="190"/>
      <c r="P2" s="190"/>
      <c r="Q2" s="190"/>
      <c r="R2" s="190"/>
      <c r="S2" s="190"/>
      <c r="T2" s="190"/>
    </row>
    <row r="3" spans="1:20" ht="15.75" customHeight="1" x14ac:dyDescent="0.15">
      <c r="A3" s="9" t="s">
        <v>144</v>
      </c>
      <c r="B3" s="78">
        <v>0.55000000000000004</v>
      </c>
      <c r="C3" s="15">
        <f>'Raw Values'!V3</f>
        <v>50</v>
      </c>
      <c r="D3" s="22">
        <f>'Raw Values'!AE3</f>
        <v>0.9</v>
      </c>
      <c r="E3" s="176"/>
      <c r="F3" s="20">
        <v>0</v>
      </c>
      <c r="G3" s="79">
        <f>'Raw Values'!$V3*(0.1^(B3/'Raw Values'!$AE3))</f>
        <v>12.242183734111133</v>
      </c>
      <c r="H3" s="79">
        <f>('Raw Values'!$V3+G3)*(0.1^($B3/'Raw Values'!$AE3))</f>
        <v>15.239604985705839</v>
      </c>
      <c r="I3" s="79">
        <f>('Raw Values'!$V3+H3)*(0.1^($B3/'Raw Values'!$AE3))</f>
        <v>15.973504619516874</v>
      </c>
      <c r="J3" s="79">
        <f>('Raw Values'!$V3+I3)*(0.1^($B3/'Raw Values'!$AE3))</f>
        <v>16.153195302707104</v>
      </c>
      <c r="K3" s="79">
        <f>('Raw Values'!$V3+J3)*(0.1^($B3/'Raw Values'!$AE3))</f>
        <v>16.19719142988556</v>
      </c>
      <c r="L3" s="79">
        <f>('Raw Values'!$V3+K3)*(0.1^($B3/'Raw Values'!$AE3))</f>
        <v>16.20796360333572</v>
      </c>
      <c r="M3" s="79">
        <f>('Raw Values'!$V3+L3)*(0.1^($B3/'Raw Values'!$AE3))</f>
        <v>16.210601101867567</v>
      </c>
      <c r="N3" s="190"/>
      <c r="O3" s="190"/>
      <c r="P3" s="190"/>
      <c r="Q3" s="190"/>
      <c r="R3" s="190"/>
      <c r="S3" s="190"/>
      <c r="T3" s="190"/>
    </row>
    <row r="4" spans="1:20" ht="15.75" customHeight="1" x14ac:dyDescent="0.15">
      <c r="A4" s="9" t="s">
        <v>145</v>
      </c>
      <c r="B4" s="78">
        <v>0.55000000000000004</v>
      </c>
      <c r="C4" s="15">
        <f>'Raw Values'!V4</f>
        <v>11.16</v>
      </c>
      <c r="D4" s="22">
        <f>'Raw Values'!AE4</f>
        <v>0.52498900000000004</v>
      </c>
      <c r="E4" s="176"/>
      <c r="F4" s="20">
        <v>0</v>
      </c>
      <c r="G4" s="79">
        <f>('Raw Values'!$V4)*(0.1^(B4/'Raw Values'!$AE4))</f>
        <v>1.0000534131325045</v>
      </c>
      <c r="H4" s="79">
        <f>('Raw Values'!$AM4+G4)*(0.1^($B4/'Raw Values'!$AE4))</f>
        <v>1.1613571371131477</v>
      </c>
      <c r="I4" s="79">
        <f>('Raw Values'!$V4+H4)*(0.1^($B4/'Raw Values'!$AE4))</f>
        <v>1.1041232311285438</v>
      </c>
      <c r="J4" s="79">
        <f>('Raw Values'!$AM4+I4)*(0.1^($B4/'Raw Values'!$AE4))</f>
        <v>1.1706828877127011</v>
      </c>
      <c r="K4" s="79">
        <f>('Raw Values'!$V4+J4)*(0.1^($B4/'Raw Values'!$AE4))</f>
        <v>1.10495891649746</v>
      </c>
      <c r="L4" s="79">
        <f>('Raw Values'!$AM4+K4)*(0.1^($B4/'Raw Values'!$AE4))</f>
        <v>1.1707577739139099</v>
      </c>
      <c r="M4" s="79">
        <f>('Raw Values'!$V4+L4)*(0.1^($B4/'Raw Values'!$AE4))</f>
        <v>1.1049656270889578</v>
      </c>
      <c r="N4" s="79">
        <f>('Raw Values'!$AM4+M4)*(0.1^($B4/'Raw Values'!$AE4))</f>
        <v>1.1707583752535096</v>
      </c>
      <c r="O4" s="79">
        <f>('Raw Values'!$V4+N4)*(0.1^($B4/'Raw Values'!$AE4))</f>
        <v>1.1049656809753126</v>
      </c>
      <c r="P4" s="79">
        <f>('Raw Values'!$AM4+O4)*(0.1^($B4/'Raw Values'!$AE4))</f>
        <v>1.1707583800822938</v>
      </c>
      <c r="Q4" s="79">
        <f>('Raw Values'!$V4+P4)*(0.1^($B4/'Raw Values'!$AE4))</f>
        <v>1.1049656814080224</v>
      </c>
      <c r="R4" s="79">
        <f>('Raw Values'!$AM4+Q4)*(0.1^($B4/'Raw Values'!$AE4))</f>
        <v>1.170758380121069</v>
      </c>
      <c r="S4" s="79">
        <f>('Raw Values'!$V4+R4)*(0.1^($B4/'Raw Values'!$AE4))</f>
        <v>1.1049656814114972</v>
      </c>
      <c r="T4" s="79">
        <f>('Raw Values'!$AM4+S4)*(0.1^($B4/'Raw Values'!$AE4))</f>
        <v>1.1707583801213806</v>
      </c>
    </row>
    <row r="5" spans="1:20" ht="15.75" customHeight="1" x14ac:dyDescent="0.15">
      <c r="A5" s="35" t="s">
        <v>146</v>
      </c>
      <c r="B5" s="78">
        <v>0.55000000000000004</v>
      </c>
      <c r="C5" s="15">
        <f>'Raw Values'!V5</f>
        <v>25</v>
      </c>
      <c r="D5" s="22">
        <f>'Raw Values'!AE5</f>
        <v>0.2</v>
      </c>
      <c r="E5" s="176"/>
      <c r="F5" s="20">
        <v>0</v>
      </c>
      <c r="G5" s="79">
        <f>'Raw Values'!$V5*(0.1^(B5/'Raw Values'!$AE5))</f>
        <v>4.4456985250973094E-2</v>
      </c>
      <c r="H5" s="79">
        <f>('Raw Values'!$V5+G5)*(0.1^($B5/'Raw Values'!$AE5))</f>
        <v>4.4536042192477303E-2</v>
      </c>
      <c r="I5" s="79">
        <f>('Raw Values'!$V5+H5)*(0.1^($B5/'Raw Values'!$AE5))</f>
        <v>4.4536182777808596E-2</v>
      </c>
      <c r="J5" s="79">
        <f>('Raw Values'!$V5+I5)*(0.1^($B5/'Raw Values'!$AE5))</f>
        <v>4.4536183027808596E-2</v>
      </c>
      <c r="K5" s="79">
        <f>('Raw Values'!$V5+J5)*(0.1^($B5/'Raw Values'!$AE5))</f>
        <v>4.4536183028253171E-2</v>
      </c>
      <c r="L5" s="79">
        <f>('Raw Values'!$V5+K5)*(0.1^($B5/'Raw Values'!$AE5))</f>
        <v>4.4536183028253955E-2</v>
      </c>
      <c r="M5" s="79">
        <f>('Raw Values'!$V5+L5)*(0.1^($B5/'Raw Values'!$AE5))</f>
        <v>4.4536183028253955E-2</v>
      </c>
      <c r="N5" s="79">
        <f>('Raw Values'!$V5+M5)*(0.1^($B5/'Raw Values'!$AE5))</f>
        <v>4.4536183028253955E-2</v>
      </c>
      <c r="O5" s="79">
        <f>('Raw Values'!$V5+N5)*(0.1^($B5/'Raw Values'!$AE5))</f>
        <v>4.4536183028253955E-2</v>
      </c>
      <c r="P5" s="79">
        <f>('Raw Values'!$V5+O5)*(0.1^($B5/'Raw Values'!$AE5))</f>
        <v>4.4536183028253955E-2</v>
      </c>
      <c r="Q5" s="79">
        <f>('Raw Values'!$V5+P5)*(0.1^($B5/'Raw Values'!$AE5))</f>
        <v>4.4536183028253955E-2</v>
      </c>
      <c r="R5" s="79">
        <f>('Raw Values'!$V5+Q5)*(0.1^($B5/'Raw Values'!$AE5))</f>
        <v>4.4536183028253955E-2</v>
      </c>
      <c r="S5" s="79">
        <f>('Raw Values'!$V5+R5)*(0.1^($B5/'Raw Values'!$AE5))</f>
        <v>4.4536183028253955E-2</v>
      </c>
      <c r="T5" s="79">
        <f>('Raw Values'!$V5+S5)*(0.1^($B5/'Raw Values'!$AE5))</f>
        <v>4.4536183028253955E-2</v>
      </c>
    </row>
    <row r="6" spans="1:20" ht="15.75" customHeight="1" x14ac:dyDescent="0.15">
      <c r="A6" s="36" t="s">
        <v>147</v>
      </c>
      <c r="B6" s="78">
        <v>0.55000000000000004</v>
      </c>
      <c r="C6" s="15">
        <f>'Raw Values'!V6</f>
        <v>56</v>
      </c>
      <c r="D6" s="22">
        <f>'Raw Values'!AE6</f>
        <v>0.2</v>
      </c>
      <c r="E6" s="176"/>
      <c r="F6" s="20">
        <v>0</v>
      </c>
      <c r="G6" s="79">
        <f>'Raw Values'!$V6*(0.1^(B6/'Raw Values'!$AE6))</f>
        <v>9.9583646962179723E-2</v>
      </c>
      <c r="H6" s="79">
        <f>('Raw Values'!$V6+G6)*(0.1^($B6/'Raw Values'!$AE6))</f>
        <v>9.9760734511149154E-2</v>
      </c>
      <c r="I6" s="79">
        <f>('Raw Values'!$V6+H6)*(0.1^($B6/'Raw Values'!$AE6))</f>
        <v>9.9761049422291262E-2</v>
      </c>
      <c r="J6" s="79">
        <f>('Raw Values'!$V6+I6)*(0.1^($B6/'Raw Values'!$AE6))</f>
        <v>9.9761049982291253E-2</v>
      </c>
      <c r="K6" s="79">
        <f>('Raw Values'!$V6+J6)*(0.1^($B6/'Raw Values'!$AE6))</f>
        <v>9.9761049983287095E-2</v>
      </c>
      <c r="L6" s="79">
        <f>('Raw Values'!$V6+K6)*(0.1^($B6/'Raw Values'!$AE6))</f>
        <v>9.9761049983288858E-2</v>
      </c>
      <c r="M6" s="79">
        <f>('Raw Values'!$V6+L6)*(0.1^($B6/'Raw Values'!$AE6))</f>
        <v>9.9761049983288858E-2</v>
      </c>
      <c r="N6" s="79">
        <f>('Raw Values'!$V6+M6)*(0.1^($B6/'Raw Values'!$AE6))</f>
        <v>9.9761049983288858E-2</v>
      </c>
      <c r="O6" s="79">
        <f>('Raw Values'!$V6+N6)*(0.1^($B6/'Raw Values'!$AE6))</f>
        <v>9.9761049983288858E-2</v>
      </c>
      <c r="P6" s="79">
        <f>('Raw Values'!$V6+O6)*(0.1^($B6/'Raw Values'!$AE6))</f>
        <v>9.9761049983288858E-2</v>
      </c>
      <c r="Q6" s="79">
        <f>('Raw Values'!$V6+P6)*(0.1^($B6/'Raw Values'!$AE6))</f>
        <v>9.9761049983288858E-2</v>
      </c>
      <c r="R6" s="79">
        <f>('Raw Values'!$V6+Q6)*(0.1^($B6/'Raw Values'!$AE6))</f>
        <v>9.9761049983288858E-2</v>
      </c>
      <c r="S6" s="79">
        <f>('Raw Values'!$V6+R6)*(0.1^($B6/'Raw Values'!$AE6))</f>
        <v>9.9761049983288858E-2</v>
      </c>
      <c r="T6" s="79">
        <f>('Raw Values'!$V6+S6)*(0.1^($B6/'Raw Values'!$AE6))</f>
        <v>9.9761049983288858E-2</v>
      </c>
    </row>
    <row r="7" spans="1:20" ht="15.75" customHeight="1" x14ac:dyDescent="0.15">
      <c r="A7" s="35" t="s">
        <v>148</v>
      </c>
      <c r="B7" s="78">
        <v>0.55000000000000004</v>
      </c>
      <c r="C7" s="15">
        <f>'Raw Values'!V7</f>
        <v>50</v>
      </c>
      <c r="D7" s="22">
        <f>'Raw Values'!AE7</f>
        <v>0.34953200000000001</v>
      </c>
      <c r="E7" s="176"/>
      <c r="F7" s="20">
        <v>0</v>
      </c>
      <c r="G7" s="79">
        <f>'Raw Values'!$V7*(0.1^(B7/'Raw Values'!$AE7))</f>
        <v>1.3348651504793945</v>
      </c>
      <c r="H7" s="79">
        <f>('Raw Values'!$V7+G7)*(0.1^($B7/'Raw Values'!$AE7))</f>
        <v>1.370502449878682</v>
      </c>
      <c r="I7" s="79">
        <f>('Raw Values'!$V7+H7)*(0.1^($B7/'Raw Values'!$AE7))</f>
        <v>1.3714538696591883</v>
      </c>
      <c r="J7" s="79">
        <f>('Raw Values'!$V7+I7)*(0.1^($B7/'Raw Values'!$AE7))</f>
        <v>1.3714792700013576</v>
      </c>
      <c r="K7" s="79">
        <f>('Raw Values'!$V7+J7)*(0.1^($B7/'Raw Values'!$AE7))</f>
        <v>1.371479948121989</v>
      </c>
      <c r="L7" s="79">
        <f>('Raw Values'!$V7+K7)*(0.1^($B7/'Raw Values'!$AE7))</f>
        <v>1.3714799662259809</v>
      </c>
      <c r="M7" s="79">
        <f>('Raw Values'!$V7+L7)*(0.1^($B7/'Raw Values'!$AE7))</f>
        <v>1.3714799667093089</v>
      </c>
      <c r="N7" s="79">
        <f>('Raw Values'!$V7+M7)*(0.1^($B7/'Raw Values'!$AE7))</f>
        <v>1.3714799667222124</v>
      </c>
      <c r="O7" s="79">
        <f>('Raw Values'!$V7+N7)*(0.1^($B7/'Raw Values'!$AE7))</f>
        <v>1.3714799667225568</v>
      </c>
      <c r="P7" s="79">
        <f>('Raw Values'!$V7+O7)*(0.1^($B7/'Raw Values'!$AE7))</f>
        <v>1.3714799667225659</v>
      </c>
      <c r="Q7" s="79">
        <f>('Raw Values'!$V7+P7)*(0.1^($B7/'Raw Values'!$AE7))</f>
        <v>1.3714799667225663</v>
      </c>
      <c r="R7" s="79">
        <f>('Raw Values'!$V7+Q7)*(0.1^($B7/'Raw Values'!$AE7))</f>
        <v>1.3714799667225663</v>
      </c>
      <c r="S7" s="190"/>
      <c r="T7" s="190"/>
    </row>
    <row r="8" spans="1:20" ht="15.75" customHeight="1" x14ac:dyDescent="0.15">
      <c r="A8" s="35" t="s">
        <v>149</v>
      </c>
      <c r="B8" s="78">
        <v>0.55000000000000004</v>
      </c>
      <c r="C8" s="15">
        <f>'Raw Values'!AM8</f>
        <v>52</v>
      </c>
      <c r="D8" s="22">
        <f>'Raw Values'!AE8</f>
        <v>0.34953200000000001</v>
      </c>
      <c r="E8" s="176"/>
      <c r="F8" s="20">
        <v>0</v>
      </c>
      <c r="G8" s="79">
        <f>'Raw Values'!$AM8*(0.1^(B8/'Raw Values'!$AE8))</f>
        <v>1.3882597564985701</v>
      </c>
      <c r="H8" s="79">
        <f>('Raw Values'!$AM8+G8)*(0.1^($B8/'Raw Values'!$AE8))</f>
        <v>1.4253225478738292</v>
      </c>
      <c r="I8" s="79">
        <f>('Raw Values'!$AM8+H8)*(0.1^($B8/'Raw Values'!$AE8))</f>
        <v>1.4263120244455556</v>
      </c>
      <c r="J8" s="79">
        <f>('Raw Values'!$AM8+I8)*(0.1^($B8/'Raw Values'!$AE8))</f>
        <v>1.4263384408014119</v>
      </c>
      <c r="K8" s="79">
        <f>('Raw Values'!$AM8+J8)*(0.1^($B8/'Raw Values'!$AE8))</f>
        <v>1.4263391460468686</v>
      </c>
      <c r="L8" s="79">
        <f>('Raw Values'!$AM8+K8)*(0.1^($B8/'Raw Values'!$AE8))</f>
        <v>1.4263391648750203</v>
      </c>
      <c r="M8" s="79">
        <f>('Raw Values'!$AM8+L8)*(0.1^($B8/'Raw Values'!$AE8))</f>
        <v>1.4263391653776811</v>
      </c>
      <c r="N8" s="79">
        <f>('Raw Values'!$AM8+M8)*(0.1^($B8/'Raw Values'!$AE8))</f>
        <v>1.4263391653911008</v>
      </c>
      <c r="O8" s="79">
        <f>('Raw Values'!$AM8+N8)*(0.1^($B8/'Raw Values'!$AE8))</f>
        <v>1.426339165391459</v>
      </c>
      <c r="P8" s="79">
        <f>('Raw Values'!$AM8+O8)*(0.1^($B8/'Raw Values'!$AE8))</f>
        <v>1.4263391653914688</v>
      </c>
      <c r="Q8" s="79">
        <f>('Raw Values'!$AM8+P8)*(0.1^($B8/'Raw Values'!$AE8))</f>
        <v>1.426339165391469</v>
      </c>
      <c r="R8" s="190"/>
      <c r="S8" s="190"/>
      <c r="T8" s="190"/>
    </row>
    <row r="9" spans="1:20" ht="15.75" customHeight="1" x14ac:dyDescent="0.15">
      <c r="A9" s="9" t="s">
        <v>150</v>
      </c>
      <c r="B9" s="78">
        <v>0.55000000000000004</v>
      </c>
      <c r="C9" s="15">
        <f>'Raw Values'!V9</f>
        <v>52.45</v>
      </c>
      <c r="D9" s="22">
        <f>'Raw Values'!AE9</f>
        <v>0.34538799999999997</v>
      </c>
      <c r="E9" s="176"/>
      <c r="F9" s="20">
        <v>0</v>
      </c>
      <c r="G9" s="79">
        <f>'Raw Values'!$V9*(0.1^(B9/'Raw Values'!$AE9))</f>
        <v>1.3407057763988806</v>
      </c>
      <c r="H9" s="79">
        <f>('Raw Values'!$V9+G9)*(0.1^($B9/'Raw Values'!$AE9))</f>
        <v>1.374976357502204</v>
      </c>
      <c r="I9" s="79">
        <f>('Raw Values'!$V9+H9)*(0.1^($B9/'Raw Values'!$AE9))</f>
        <v>1.3758523682943067</v>
      </c>
      <c r="J9" s="79">
        <f>('Raw Values'!$V9+I9)*(0.1^($B9/'Raw Values'!$AE9))</f>
        <v>1.3758747605293715</v>
      </c>
      <c r="K9" s="79">
        <f>('Raw Values'!$V9+J9)*(0.1^($B9/'Raw Values'!$AE9))</f>
        <v>1.3758753329106661</v>
      </c>
      <c r="L9" s="79">
        <f>('Raw Values'!$V9+K9)*(0.1^($B9/'Raw Values'!$AE9))</f>
        <v>1.3758753475416463</v>
      </c>
      <c r="M9" s="79">
        <f>('Raw Values'!$V9+L9)*(0.1^($B9/'Raw Values'!$AE9))</f>
        <v>1.3758753479156374</v>
      </c>
      <c r="N9" s="79">
        <f>('Raw Values'!$V9+M9)*(0.1^($B9/'Raw Values'!$AE9))</f>
        <v>1.3758753479251973</v>
      </c>
      <c r="O9" s="79">
        <f>('Raw Values'!$V9+N9)*(0.1^($B9/'Raw Values'!$AE9))</f>
        <v>1.3758753479254415</v>
      </c>
      <c r="P9" s="79">
        <f>('Raw Values'!$V9+O9)*(0.1^($B9/'Raw Values'!$AE9))</f>
        <v>1.375875347925448</v>
      </c>
      <c r="Q9" s="79">
        <f>('Raw Values'!$V9+P9)*(0.1^($B9/'Raw Values'!$AE9))</f>
        <v>1.3758753479254482</v>
      </c>
      <c r="R9" s="79">
        <f>('Raw Values'!$V9+Q9)*(0.1^($B9/'Raw Values'!$AE9))</f>
        <v>1.3758753479254482</v>
      </c>
      <c r="S9" s="190"/>
      <c r="T9" s="190"/>
    </row>
    <row r="10" spans="1:20" ht="15.75" customHeight="1" x14ac:dyDescent="0.15">
      <c r="A10" s="9" t="s">
        <v>151</v>
      </c>
      <c r="B10" s="78">
        <v>0.55000000000000004</v>
      </c>
      <c r="C10" s="15">
        <f>'Raw Values'!V10</f>
        <v>35</v>
      </c>
      <c r="D10" s="22">
        <f>'Raw Values'!AE10</f>
        <v>0.24249999999999999</v>
      </c>
      <c r="E10" s="176"/>
      <c r="F10" s="20">
        <v>0</v>
      </c>
      <c r="G10" s="79">
        <f>'Raw Values'!$V10*(0.1^(B10/'Raw Values'!$AE10))</f>
        <v>0.18881078907413815</v>
      </c>
      <c r="H10" s="79">
        <f>('Raw Values'!$V10+G10)*(0.1^($B10/'Raw Values'!$AE10))</f>
        <v>0.18982934661901812</v>
      </c>
      <c r="I10" s="79">
        <f>('Raw Values'!$V10+H10)*(0.1^($B10/'Raw Values'!$AE10))</f>
        <v>0.18983484132341144</v>
      </c>
      <c r="J10" s="79">
        <f>('Raw Values'!$V10+I10)*(0.1^($B10/'Raw Values'!$AE10))</f>
        <v>0.18983487096511065</v>
      </c>
      <c r="K10" s="79">
        <f>('Raw Values'!$V10+J10)*(0.1^($B10/'Raw Values'!$AE10))</f>
        <v>0.18983487112501557</v>
      </c>
      <c r="L10" s="79">
        <f>('Raw Values'!$V10+K10)*(0.1^($B10/'Raw Values'!$AE10))</f>
        <v>0.18983487112587819</v>
      </c>
      <c r="M10" s="79">
        <f>('Raw Values'!$V10+L10)*(0.1^($B10/'Raw Values'!$AE10))</f>
        <v>0.18983487112588282</v>
      </c>
      <c r="N10" s="79">
        <f>('Raw Values'!$V10+M10)*(0.1^($B10/'Raw Values'!$AE10))</f>
        <v>0.18983487112588288</v>
      </c>
      <c r="O10" s="79">
        <f>('Raw Values'!$V10+N10)*(0.1^($B10/'Raw Values'!$AE10))</f>
        <v>0.18983487112588288</v>
      </c>
      <c r="P10" s="79">
        <f>('Raw Values'!$V10+O10)*(0.1^($B10/'Raw Values'!$AE10))</f>
        <v>0.18983487112588288</v>
      </c>
      <c r="Q10" s="79">
        <f>('Raw Values'!$V10+P10)*(0.1^($B10/'Raw Values'!$AE10))</f>
        <v>0.18983487112588288</v>
      </c>
      <c r="R10" s="190"/>
      <c r="S10" s="190"/>
      <c r="T10" s="190"/>
    </row>
    <row r="11" spans="1:20" ht="15.75" customHeight="1" x14ac:dyDescent="0.15">
      <c r="A11" s="36" t="s">
        <v>152</v>
      </c>
      <c r="B11" s="78">
        <v>0.55000000000000004</v>
      </c>
      <c r="C11" s="15">
        <f>'Raw Values'!V11</f>
        <v>45</v>
      </c>
      <c r="D11" s="22">
        <f>'Raw Values'!AE11</f>
        <v>0.39100000000000001</v>
      </c>
      <c r="E11" s="176"/>
      <c r="F11" s="20">
        <v>0</v>
      </c>
      <c r="G11" s="79">
        <f>'Raw Values'!$V11*(0.1^(B11/'Raw Values'!$AE11))</f>
        <v>1.7642612579905832</v>
      </c>
      <c r="H11" s="79">
        <f>('Raw Values'!$V11+G11)*(0.1^($B11/'Raw Values'!$AE11))</f>
        <v>1.833430542133839</v>
      </c>
      <c r="I11" s="79">
        <f>('Raw Values'!$V11+H11)*(0.1^($B11/'Raw Values'!$AE11))</f>
        <v>1.8361423796506589</v>
      </c>
      <c r="J11" s="79">
        <f>('Raw Values'!$V11+I11)*(0.1^($B11/'Raw Values'!$AE11))</f>
        <v>1.8362486994255232</v>
      </c>
      <c r="K11" s="79">
        <f>('Raw Values'!$V11+J11)*(0.1^($B11/'Raw Values'!$AE11))</f>
        <v>1.8362528677779621</v>
      </c>
      <c r="L11" s="79">
        <f>('Raw Values'!$V11+K11)*(0.1^($B11/'Raw Values'!$AE11))</f>
        <v>1.8362530312015781</v>
      </c>
      <c r="M11" s="79">
        <f>('Raw Values'!$V11+L11)*(0.1^($B11/'Raw Values'!$AE11))</f>
        <v>1.8362530376087325</v>
      </c>
      <c r="N11" s="79">
        <f>('Raw Values'!$V11+M11)*(0.1^($B11/'Raw Values'!$AE11))</f>
        <v>1.8362530378599302</v>
      </c>
      <c r="O11" s="79">
        <f>('Raw Values'!$V11+N11)*(0.1^($B11/'Raw Values'!$AE11))</f>
        <v>1.8362530378697788</v>
      </c>
      <c r="P11" s="79">
        <f>('Raw Values'!$V11+O11)*(0.1^($B11/'Raw Values'!$AE11))</f>
        <v>1.8362530378701647</v>
      </c>
      <c r="Q11" s="79">
        <f>('Raw Values'!$V11+P11)*(0.1^($B11/'Raw Values'!$AE11))</f>
        <v>1.8362530378701798</v>
      </c>
      <c r="R11" s="79">
        <f>('Raw Values'!$V11+Q11)*(0.1^($B11/'Raw Values'!$AE11))</f>
        <v>1.8362530378701805</v>
      </c>
      <c r="S11" s="79">
        <f>('Raw Values'!$V11+R11)*(0.1^($B11/'Raw Values'!$AE11))</f>
        <v>1.8362530378701805</v>
      </c>
      <c r="T11" s="79">
        <f>('Raw Values'!$V11+S11)*(0.1^($B11/'Raw Values'!$AE11))</f>
        <v>1.8362530378701805</v>
      </c>
    </row>
    <row r="12" spans="1:20" ht="15.75" customHeight="1" x14ac:dyDescent="0.15">
      <c r="A12" s="39"/>
      <c r="B12" s="101"/>
      <c r="C12" s="43"/>
      <c r="D12" s="192"/>
      <c r="E12" s="194"/>
      <c r="F12" s="200"/>
      <c r="G12" s="200"/>
      <c r="H12" s="200"/>
      <c r="I12" s="200"/>
      <c r="J12" s="200"/>
      <c r="K12" s="200"/>
      <c r="L12" s="200"/>
      <c r="M12" s="200"/>
      <c r="N12" s="201"/>
      <c r="O12" s="201"/>
      <c r="P12" s="201"/>
      <c r="Q12" s="201"/>
      <c r="R12" s="201"/>
      <c r="S12" s="201"/>
      <c r="T12" s="201"/>
    </row>
    <row r="13" spans="1:20" ht="15.75" customHeight="1" x14ac:dyDescent="0.15">
      <c r="A13" s="1" t="s">
        <v>53</v>
      </c>
      <c r="B13" s="69" t="s">
        <v>238</v>
      </c>
      <c r="C13" s="4" t="s">
        <v>234</v>
      </c>
      <c r="D13" s="7" t="s">
        <v>27</v>
      </c>
      <c r="E13" s="174"/>
      <c r="F13" s="202">
        <v>1</v>
      </c>
      <c r="G13" s="203">
        <v>2</v>
      </c>
      <c r="H13" s="203">
        <v>3</v>
      </c>
      <c r="I13" s="203">
        <v>4</v>
      </c>
      <c r="J13" s="203">
        <v>5</v>
      </c>
      <c r="K13" s="203">
        <v>6</v>
      </c>
      <c r="L13" s="203">
        <v>7</v>
      </c>
      <c r="M13" s="203">
        <v>8</v>
      </c>
      <c r="N13" s="201"/>
      <c r="O13" s="201"/>
      <c r="P13" s="201"/>
      <c r="Q13" s="201"/>
      <c r="R13" s="201"/>
      <c r="S13" s="201"/>
      <c r="T13" s="201"/>
    </row>
    <row r="14" spans="1:20" ht="15.75" customHeight="1" x14ac:dyDescent="0.15">
      <c r="A14" s="35" t="s">
        <v>153</v>
      </c>
      <c r="B14" s="83">
        <f>'Raw Values'!F14</f>
        <v>0.85</v>
      </c>
      <c r="C14" s="15">
        <f>'Raw Values'!V14</f>
        <v>11.19</v>
      </c>
      <c r="D14" s="22">
        <f>'Raw Values'!AE14</f>
        <v>0.399729</v>
      </c>
      <c r="E14" s="176"/>
      <c r="F14" s="20">
        <v>0</v>
      </c>
      <c r="G14" s="79">
        <f>'Raw Values'!$V14*(0.1^(B14/'Raw Values'!$AE14))</f>
        <v>8.3635262239327518E-2</v>
      </c>
      <c r="H14" s="79">
        <f>('Raw Values'!$V14+G14)*(0.1^($B14/'Raw Values'!$AE14))</f>
        <v>8.4260361174970155E-2</v>
      </c>
      <c r="I14" s="79">
        <f>('Raw Values'!$V14+H14)*(0.1^($B14/'Raw Values'!$AE14))</f>
        <v>8.4265033231574971E-2</v>
      </c>
      <c r="J14" s="79">
        <f>('Raw Values'!$V14+I14)*(0.1^($B14/'Raw Values'!$AE14))</f>
        <v>8.4265068151027994E-2</v>
      </c>
      <c r="K14" s="79">
        <f>('Raw Values'!$V14+J14)*(0.1^($B14/'Raw Values'!$AE14))</f>
        <v>8.426506841201975E-2</v>
      </c>
      <c r="L14" s="79">
        <f>('Raw Values'!$V14+K14)*(0.1^($B14/'Raw Values'!$AE14))</f>
        <v>8.4265068413970426E-2</v>
      </c>
      <c r="M14" s="190"/>
      <c r="N14" s="201"/>
      <c r="O14" s="201"/>
      <c r="P14" s="201"/>
      <c r="Q14" s="201"/>
      <c r="R14" s="201"/>
      <c r="S14" s="201"/>
      <c r="T14" s="201"/>
    </row>
    <row r="15" spans="1:20" ht="15.75" customHeight="1" x14ac:dyDescent="0.15">
      <c r="A15" s="9" t="s">
        <v>155</v>
      </c>
      <c r="B15" s="83">
        <f>'Raw Values'!F15</f>
        <v>0.88</v>
      </c>
      <c r="C15" s="15">
        <f>'Raw Values'!V15</f>
        <v>9.7200000000000006</v>
      </c>
      <c r="D15" s="22">
        <f>'Raw Values'!AE15</f>
        <v>0.46051700000000001</v>
      </c>
      <c r="E15" s="176"/>
      <c r="F15" s="20">
        <v>0</v>
      </c>
      <c r="G15" s="79">
        <f>'Raw Values'!$V15*(0.1^(B15/'Raw Values'!$AE15))</f>
        <v>0.11933572265163503</v>
      </c>
      <c r="H15" s="79">
        <f>('Raw Values'!$V15+G15)*(0.1^($B15/'Raw Values'!$AE15))</f>
        <v>0.1208008476208519</v>
      </c>
      <c r="I15" s="79">
        <f>('Raw Values'!$V15+H15)*(0.1^($B15/'Raw Values'!$AE15))</f>
        <v>0.12081883545490298</v>
      </c>
      <c r="J15" s="79">
        <f>('Raw Values'!$V15+I15)*(0.1^($B15/'Raw Values'!$AE15))</f>
        <v>0.1208190562976165</v>
      </c>
      <c r="K15" s="79">
        <f>('Raw Values'!$V15+J15)*(0.1^($B15/'Raw Values'!$AE15))</f>
        <v>0.12081905900897706</v>
      </c>
      <c r="L15" s="79">
        <f>('Raw Values'!$V15+K15)*(0.1^($B15/'Raw Values'!$AE15))</f>
        <v>0.12081905904226535</v>
      </c>
      <c r="M15" s="79">
        <f>('Raw Values'!$V15+L15)*(0.1^($B15/'Raw Values'!$AE15))</f>
        <v>0.12081905904267405</v>
      </c>
      <c r="N15" s="201"/>
      <c r="O15" s="201"/>
      <c r="P15" s="201"/>
      <c r="Q15" s="201"/>
      <c r="R15" s="201"/>
      <c r="S15" s="201"/>
      <c r="T15" s="201"/>
    </row>
    <row r="16" spans="1:20" ht="15.75" customHeight="1" x14ac:dyDescent="0.15">
      <c r="A16" s="36" t="s">
        <v>156</v>
      </c>
      <c r="B16" s="83">
        <f>'Raw Values'!F16</f>
        <v>0.85</v>
      </c>
      <c r="C16" s="15">
        <f>'Raw Values'!V16</f>
        <v>9.7200000000000006</v>
      </c>
      <c r="D16" s="22">
        <f>'Raw Values'!AE16</f>
        <v>0.46051700000000001</v>
      </c>
      <c r="E16" s="176"/>
      <c r="F16" s="20">
        <v>0</v>
      </c>
      <c r="G16" s="79">
        <f>'Raw Values'!$V16*(0.1^(B16/'Raw Values'!$AE16))</f>
        <v>0.13864832979732933</v>
      </c>
      <c r="H16" s="79">
        <f>('Raw Values'!$V16+G16)*(0.1^($B16/'Raw Values'!$AE16))</f>
        <v>0.14062604166518827</v>
      </c>
      <c r="I16" s="79">
        <f>('Raw Values'!$V16+H16)*(0.1^($B16/'Raw Values'!$AE16))</f>
        <v>0.14065425220503386</v>
      </c>
      <c r="J16" s="79">
        <f>('Raw Values'!$V16+I16)*(0.1^($B16/'Raw Values'!$AE16))</f>
        <v>0.14065465460670384</v>
      </c>
      <c r="K16" s="79">
        <f>('Raw Values'!$V16+J16)*(0.1^($B16/'Raw Values'!$AE16))</f>
        <v>0.14065466034665441</v>
      </c>
      <c r="L16" s="79">
        <f>('Raw Values'!$V16+K16)*(0.1^($B16/'Raw Values'!$AE16))</f>
        <v>0.14065466042853039</v>
      </c>
      <c r="M16" s="190"/>
      <c r="N16" s="201"/>
      <c r="O16" s="201"/>
      <c r="P16" s="201"/>
      <c r="Q16" s="201"/>
      <c r="R16" s="201"/>
      <c r="S16" s="201"/>
      <c r="T16" s="201"/>
    </row>
    <row r="17" spans="1:20" ht="15.75" customHeight="1" x14ac:dyDescent="0.15">
      <c r="A17" s="9" t="s">
        <v>157</v>
      </c>
      <c r="B17" s="78">
        <v>0.55000000000000004</v>
      </c>
      <c r="C17" s="15">
        <f>'Raw Values'!V17</f>
        <v>8.83</v>
      </c>
      <c r="D17" s="22">
        <f>'Raw Values'!AE17</f>
        <v>0.50656900000000005</v>
      </c>
      <c r="E17" s="176"/>
      <c r="F17" s="20">
        <v>0</v>
      </c>
      <c r="G17" s="79">
        <f>'Raw Values'!$V17*(0.1^(B17/'Raw Values'!$AE17))</f>
        <v>0.72481153778500285</v>
      </c>
      <c r="H17" s="79">
        <f>('Raw Values'!$V17+G17)*(0.1^($B17/'Raw Values'!$AE17))</f>
        <v>0.78430777394652729</v>
      </c>
      <c r="I17" s="79">
        <f>('Raw Values'!$V17+H17)*(0.1^($B17/'Raw Values'!$AE17))</f>
        <v>0.78919152914750723</v>
      </c>
      <c r="J17" s="79">
        <f>('Raw Values'!$V17+I17)*(0.1^($B17/'Raw Values'!$AE17))</f>
        <v>0.78959241273951042</v>
      </c>
      <c r="K17" s="79">
        <f>('Raw Values'!$V17+J17)*(0.1^($B17/'Raw Values'!$AE17))</f>
        <v>0.7896253193140057</v>
      </c>
      <c r="L17" s="79">
        <f>('Raw Values'!$V17+K17)*(0.1^($B17/'Raw Values'!$AE17))</f>
        <v>0.78962802045385427</v>
      </c>
      <c r="M17" s="190"/>
      <c r="N17" s="201"/>
      <c r="O17" s="201"/>
      <c r="P17" s="201"/>
      <c r="Q17" s="201"/>
      <c r="R17" s="201"/>
      <c r="S17" s="201"/>
      <c r="T17" s="201"/>
    </row>
    <row r="18" spans="1:20" ht="15.75" customHeight="1" x14ac:dyDescent="0.15">
      <c r="A18" s="39"/>
      <c r="B18" s="101"/>
      <c r="C18" s="43"/>
      <c r="D18" s="192"/>
      <c r="E18" s="194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ht="15.75" customHeight="1" x14ac:dyDescent="0.15">
      <c r="A19" s="1" t="s">
        <v>59</v>
      </c>
      <c r="B19" s="69" t="s">
        <v>238</v>
      </c>
      <c r="C19" s="4" t="s">
        <v>234</v>
      </c>
      <c r="D19" s="7" t="s">
        <v>27</v>
      </c>
      <c r="E19" s="174"/>
      <c r="F19" s="202">
        <v>1</v>
      </c>
      <c r="G19" s="203">
        <v>2</v>
      </c>
      <c r="H19" s="203">
        <v>3</v>
      </c>
      <c r="I19" s="203">
        <v>4</v>
      </c>
      <c r="J19" s="203">
        <v>5</v>
      </c>
      <c r="K19" s="203">
        <v>6</v>
      </c>
      <c r="L19" s="203">
        <v>7</v>
      </c>
      <c r="M19" s="203">
        <v>8</v>
      </c>
      <c r="N19" s="203">
        <v>9</v>
      </c>
      <c r="O19" s="203">
        <v>10</v>
      </c>
      <c r="P19" s="203">
        <v>11</v>
      </c>
      <c r="Q19" s="203">
        <v>12</v>
      </c>
      <c r="R19" s="203">
        <v>13</v>
      </c>
      <c r="S19" s="203">
        <v>14</v>
      </c>
      <c r="T19" s="203">
        <v>15</v>
      </c>
    </row>
    <row r="20" spans="1:20" ht="15.75" customHeight="1" x14ac:dyDescent="0.15">
      <c r="A20" s="9" t="s">
        <v>158</v>
      </c>
      <c r="B20" s="78">
        <v>0.17</v>
      </c>
      <c r="C20" s="15">
        <f>'Raw Values'!V20</f>
        <v>2.88</v>
      </c>
      <c r="D20" s="22">
        <f>'Raw Values'!AE20</f>
        <v>0.33157199999999998</v>
      </c>
      <c r="E20" s="176"/>
      <c r="F20" s="20">
        <v>0</v>
      </c>
      <c r="G20" s="79">
        <f>'Raw Values'!$V20*(0.1^(B20/'Raw Values'!$AE20))</f>
        <v>0.88447045976809635</v>
      </c>
      <c r="H20" s="79">
        <f>('Raw Values'!$V20+G20)*(0.1^($B20/'Raw Values'!$AE20))</f>
        <v>1.1560982355328142</v>
      </c>
      <c r="I20" s="79">
        <f>('Raw Values'!$V20+H20)*(0.1^($B20/'Raw Values'!$AE20))</f>
        <v>1.2395172437676771</v>
      </c>
      <c r="J20" s="79">
        <f>('Raw Values'!$V20+I20)*(0.1^($B20/'Raw Values'!$AE20))</f>
        <v>1.2651358717422911</v>
      </c>
      <c r="K20" s="79">
        <f>('Raw Values'!$V20+J20)*(0.1^($B20/'Raw Values'!$AE20))</f>
        <v>1.2730035521809488</v>
      </c>
      <c r="L20" s="79">
        <f>('Raw Values'!$V20+K20)*(0.1^($B20/'Raw Values'!$AE20))</f>
        <v>1.2754197782000074</v>
      </c>
      <c r="M20" s="79">
        <f>('Raw Values'!$V20+L20)*(0.1^($B20/'Raw Values'!$AE20))</f>
        <v>1.2761618200534728</v>
      </c>
      <c r="N20" s="79">
        <f>('Raw Values'!$V20+M20)*(0.1^($B20/'Raw Values'!$AE20))</f>
        <v>1.2763897068935082</v>
      </c>
      <c r="O20" s="79">
        <f>('Raw Values'!$V20+N20)*(0.1^($B20/'Raw Values'!$AE20))</f>
        <v>1.2764596927192653</v>
      </c>
      <c r="P20" s="79">
        <f>('Raw Values'!$V20+O20)*(0.1^($B20/'Raw Values'!$AE20))</f>
        <v>1.2764811859121419</v>
      </c>
      <c r="Q20" s="79">
        <f>('Raw Values'!$V20+P20)*(0.1^($B20/'Raw Values'!$AE20))</f>
        <v>1.2764877866392899</v>
      </c>
      <c r="R20" s="79">
        <f>('Raw Values'!$V20+Q20)*(0.1^($B20/'Raw Values'!$AE20))</f>
        <v>1.2764898137740728</v>
      </c>
      <c r="S20" s="79">
        <f>('Raw Values'!$V20+R20)*(0.1^($B20/'Raw Values'!$AE20))</f>
        <v>1.2764904363229732</v>
      </c>
      <c r="T20" s="79">
        <f>('Raw Values'!$V20+S20)*(0.1^($B20/'Raw Values'!$AE20))</f>
        <v>1.2764906275125956</v>
      </c>
    </row>
    <row r="21" spans="1:20" ht="15.75" customHeight="1" x14ac:dyDescent="0.15">
      <c r="A21" s="36" t="s">
        <v>160</v>
      </c>
      <c r="B21" s="78">
        <v>0.17</v>
      </c>
      <c r="C21" s="15">
        <f>'Raw Values'!V21</f>
        <v>4.76</v>
      </c>
      <c r="D21" s="22">
        <f>'Raw Values'!AE21</f>
        <v>0.399729</v>
      </c>
      <c r="E21" s="176"/>
      <c r="F21" s="20">
        <v>0</v>
      </c>
      <c r="G21" s="79">
        <f>'Raw Values'!$V21*(0.1^(B21/'Raw Values'!$AE21))</f>
        <v>1.7877995351123461</v>
      </c>
      <c r="H21" s="79">
        <f>('Raw Values'!$V21+G21)*(0.1^($B21/'Raw Values'!$AE21))</f>
        <v>2.4592758329585482</v>
      </c>
      <c r="I21" s="79">
        <f>('Raw Values'!$V21+H21)*(0.1^($B21/'Raw Values'!$AE21))</f>
        <v>2.7114743651283799</v>
      </c>
      <c r="J21" s="79">
        <f>('Raw Values'!$V21+I21)*(0.1^($B21/'Raw Values'!$AE21))</f>
        <v>2.8061971421387248</v>
      </c>
      <c r="K21" s="79">
        <f>('Raw Values'!$V21+J21)*(0.1^($B21/'Raw Values'!$AE21))</f>
        <v>2.8417738935470536</v>
      </c>
      <c r="L21" s="79">
        <f>('Raw Values'!$V21+K21)*(0.1^($B21/'Raw Values'!$AE21))</f>
        <v>2.8551360993513848</v>
      </c>
      <c r="M21" s="79">
        <f>('Raw Values'!$V21+L21)*(0.1^($B21/'Raw Values'!$AE21))</f>
        <v>2.8601547853440445</v>
      </c>
      <c r="N21" s="79">
        <f>('Raw Values'!$V21+M21)*(0.1^($B21/'Raw Values'!$AE21))</f>
        <v>2.8620397442693704</v>
      </c>
      <c r="O21" s="79">
        <f>('Raw Values'!$V21+N21)*(0.1^($B21/'Raw Values'!$AE21))</f>
        <v>2.8627477124816401</v>
      </c>
      <c r="P21" s="79">
        <f>('Raw Values'!$V21+O21)*(0.1^($B21/'Raw Values'!$AE21))</f>
        <v>2.863013616943987</v>
      </c>
      <c r="Q21" s="79">
        <f>('Raw Values'!$V21+P21)*(0.1^($B21/'Raw Values'!$AE21))</f>
        <v>2.8631134875057866</v>
      </c>
      <c r="R21" s="79">
        <f>('Raw Values'!$V21+Q21)*(0.1^($B21/'Raw Values'!$AE21))</f>
        <v>2.8631509977040972</v>
      </c>
      <c r="S21" s="79">
        <f>('Raw Values'!$V21+R21)*(0.1^($B21/'Raw Values'!$AE21))</f>
        <v>2.8631650860896225</v>
      </c>
      <c r="T21" s="79">
        <f>('Raw Values'!$V21+S21)*(0.1^($B21/'Raw Values'!$AE21))</f>
        <v>2.8631703775201043</v>
      </c>
    </row>
    <row r="22" spans="1:20" ht="15.75" customHeight="1" x14ac:dyDescent="0.15">
      <c r="A22" s="9" t="s">
        <v>161</v>
      </c>
      <c r="B22" s="78">
        <v>0.17</v>
      </c>
      <c r="C22" s="15">
        <f>'Raw Values'!V22</f>
        <v>2.1800000000000002</v>
      </c>
      <c r="D22" s="22">
        <f>'Raw Values'!AE22</f>
        <v>0.43749100000000002</v>
      </c>
      <c r="E22" s="176"/>
      <c r="F22" s="20">
        <v>0</v>
      </c>
      <c r="G22" s="79">
        <f>'Raw Values'!$V22*(0.1^(B22/'Raw Values'!$AE22))</f>
        <v>0.89099870207969656</v>
      </c>
      <c r="H22" s="79">
        <f>('Raw Values'!$V22+G22)*(0.1^($B22/'Raw Values'!$AE22))</f>
        <v>1.2551632374502031</v>
      </c>
      <c r="I22" s="79">
        <f>('Raw Values'!$V22+H22)*(0.1^($B22/'Raw Values'!$AE22))</f>
        <v>1.4040027458715685</v>
      </c>
      <c r="J22" s="79">
        <f>('Raw Values'!$V22+I22)*(0.1^($B22/'Raw Values'!$AE22))</f>
        <v>1.4648356856979983</v>
      </c>
      <c r="K22" s="79">
        <f>('Raw Values'!$V22+J22)*(0.1^($B22/'Raw Values'!$AE22))</f>
        <v>1.4896990207571914</v>
      </c>
      <c r="L22" s="79">
        <f>('Raw Values'!$V22+K22)*(0.1^($B22/'Raw Values'!$AE22))</f>
        <v>1.499861038769629</v>
      </c>
      <c r="M22" s="79">
        <f>('Raw Values'!$V22+L22)*(0.1^($B22/'Raw Values'!$AE22))</f>
        <v>1.5040144079712767</v>
      </c>
      <c r="N22" s="79">
        <f>('Raw Values'!$V22+M22)*(0.1^($B22/'Raw Values'!$AE22))</f>
        <v>1.5057119522684903</v>
      </c>
      <c r="O22" s="79">
        <f>('Raw Values'!$V22+N22)*(0.1^($B22/'Raw Values'!$AE22))</f>
        <v>1.5064057640875455</v>
      </c>
      <c r="P22" s="79">
        <f>('Raw Values'!$V22+O22)*(0.1^($B22/'Raw Values'!$AE22))</f>
        <v>1.5066893353858326</v>
      </c>
      <c r="Q22" s="79">
        <f>('Raw Values'!$V22+P22)*(0.1^($B22/'Raw Values'!$AE22))</f>
        <v>1.5068052352292824</v>
      </c>
      <c r="R22" s="79">
        <f>('Raw Values'!$V22+Q22)*(0.1^($B22/'Raw Values'!$AE22))</f>
        <v>1.5068526052339088</v>
      </c>
      <c r="S22" s="79">
        <f>('Raw Values'!$V22+R22)*(0.1^($B22/'Raw Values'!$AE22))</f>
        <v>1.5068719660653949</v>
      </c>
      <c r="T22" s="79">
        <f>('Raw Values'!$V22+S22)*(0.1^($B22/'Raw Values'!$AE22))</f>
        <v>1.5068798791276539</v>
      </c>
    </row>
    <row r="23" spans="1:20" ht="15.75" customHeight="1" x14ac:dyDescent="0.15">
      <c r="A23" s="53" t="s">
        <v>162</v>
      </c>
      <c r="B23" s="78">
        <v>0.17</v>
      </c>
      <c r="C23" s="15">
        <f>'Raw Values'!V23</f>
        <v>2.1800000000000002</v>
      </c>
      <c r="D23" s="22">
        <f>'Raw Values'!AE23</f>
        <v>0.43749100000000002</v>
      </c>
      <c r="E23" s="176"/>
      <c r="F23" s="20">
        <v>0</v>
      </c>
      <c r="G23" s="79">
        <f>'Raw Values'!$V23*(0.1^(B23/'Raw Values'!$AE23))</f>
        <v>0.89099870207969656</v>
      </c>
      <c r="H23" s="79">
        <f>('Raw Values'!$V23+G23)*(0.1^($B23/'Raw Values'!$AE23))</f>
        <v>1.2551632374502031</v>
      </c>
      <c r="I23" s="79">
        <f>('Raw Values'!$V23+H23)*(0.1^($B23/'Raw Values'!$AE23))</f>
        <v>1.4040027458715685</v>
      </c>
      <c r="J23" s="79">
        <f>('Raw Values'!$V23+I23)*(0.1^($B23/'Raw Values'!$AE23))</f>
        <v>1.4648356856979983</v>
      </c>
      <c r="K23" s="79">
        <f>('Raw Values'!$V23+J23)*(0.1^($B23/'Raw Values'!$AE23))</f>
        <v>1.4896990207571914</v>
      </c>
      <c r="L23" s="79">
        <f>('Raw Values'!$V23+K23)*(0.1^($B23/'Raw Values'!$AE23))</f>
        <v>1.499861038769629</v>
      </c>
      <c r="M23" s="79">
        <f>('Raw Values'!$V23+L23)*(0.1^($B23/'Raw Values'!$AE23))</f>
        <v>1.5040144079712767</v>
      </c>
      <c r="N23" s="79">
        <f>('Raw Values'!$V23+M23)*(0.1^($B23/'Raw Values'!$AE23))</f>
        <v>1.5057119522684903</v>
      </c>
      <c r="O23" s="79">
        <f>('Raw Values'!$V23+N23)*(0.1^($B23/'Raw Values'!$AE23))</f>
        <v>1.5064057640875455</v>
      </c>
      <c r="P23" s="79">
        <f>('Raw Values'!$V23+O23)*(0.1^($B23/'Raw Values'!$AE23))</f>
        <v>1.5066893353858326</v>
      </c>
      <c r="Q23" s="79">
        <f>('Raw Values'!$V23+P23)*(0.1^($B23/'Raw Values'!$AE23))</f>
        <v>1.5068052352292824</v>
      </c>
      <c r="R23" s="79">
        <f>('Raw Values'!$V23+Q23)*(0.1^($B23/'Raw Values'!$AE23))</f>
        <v>1.5068526052339088</v>
      </c>
      <c r="S23" s="79">
        <f>('Raw Values'!$V23+R23)*(0.1^($B23/'Raw Values'!$AE23))</f>
        <v>1.5068719660653949</v>
      </c>
      <c r="T23" s="79">
        <f>('Raw Values'!$V23+S23)*(0.1^($B23/'Raw Values'!$AE23))</f>
        <v>1.5068798791276539</v>
      </c>
    </row>
    <row r="24" spans="1:20" ht="15.75" customHeight="1" x14ac:dyDescent="0.15">
      <c r="A24" s="35" t="s">
        <v>163</v>
      </c>
      <c r="B24" s="78">
        <v>0.17</v>
      </c>
      <c r="C24" s="15">
        <f>'Raw Values'!V24</f>
        <v>3.7</v>
      </c>
      <c r="D24" s="22">
        <f>'Raw Values'!AE24</f>
        <v>0.25789000000000001</v>
      </c>
      <c r="E24" s="176"/>
      <c r="F24" s="20">
        <v>0</v>
      </c>
      <c r="G24" s="79">
        <f>'Raw Values'!$V24*(0.1^(B24/'Raw Values'!$AE24))</f>
        <v>0.8109721551849407</v>
      </c>
      <c r="H24" s="79">
        <f>('Raw Values'!$V24+G24)*(0.1^($B24/'Raw Values'!$AE24))</f>
        <v>0.98872238126205081</v>
      </c>
      <c r="I24" s="79">
        <f>('Raw Values'!$V24+H24)*(0.1^($B24/'Raw Values'!$AE24))</f>
        <v>1.0276819715124195</v>
      </c>
      <c r="J24" s="79">
        <f>('Raw Values'!$V24+I24)*(0.1^($B24/'Raw Values'!$AE24))</f>
        <v>1.0362211993152475</v>
      </c>
      <c r="K24" s="79">
        <f>('Raw Values'!$V24+J24)*(0.1^($B24/'Raw Values'!$AE24))</f>
        <v>1.038092841470619</v>
      </c>
      <c r="L24" s="79">
        <f>('Raw Values'!$V24+K24)*(0.1^($B24/'Raw Values'!$AE24))</f>
        <v>1.038503071111829</v>
      </c>
      <c r="M24" s="79">
        <f>('Raw Values'!$V24+L24)*(0.1^($B24/'Raw Values'!$AE24))</f>
        <v>1.0385929859270324</v>
      </c>
      <c r="N24" s="79">
        <f>('Raw Values'!$V24+M24)*(0.1^($B24/'Raw Values'!$AE24))</f>
        <v>1.0386126936058078</v>
      </c>
      <c r="O24" s="79">
        <f>('Raw Values'!$V24+N24)*(0.1^($B24/'Raw Values'!$AE24))</f>
        <v>1.0386170131676267</v>
      </c>
      <c r="P24" s="79">
        <f>('Raw Values'!$V24+O24)*(0.1^($B24/'Raw Values'!$AE24))</f>
        <v>1.0386179599363721</v>
      </c>
      <c r="Q24" s="79">
        <f>('Raw Values'!$V24+P24)*(0.1^($B24/'Raw Values'!$AE24))</f>
        <v>1.0386181674507207</v>
      </c>
      <c r="R24" s="79">
        <f>('Raw Values'!$V24+Q24)*(0.1^($B24/'Raw Values'!$AE24))</f>
        <v>1.0386182129340609</v>
      </c>
      <c r="S24" s="79">
        <f>('Raw Values'!$V24+R24)*(0.1^($B24/'Raw Values'!$AE24))</f>
        <v>1.0386182229031751</v>
      </c>
      <c r="T24" s="79">
        <f>('Raw Values'!$V24+S24)*(0.1^($B24/'Raw Values'!$AE24))</f>
        <v>1.0386182250882221</v>
      </c>
    </row>
    <row r="25" spans="1:20" ht="15.75" customHeight="1" x14ac:dyDescent="0.15">
      <c r="A25" s="9" t="s">
        <v>164</v>
      </c>
      <c r="B25" s="78">
        <v>0.17</v>
      </c>
      <c r="C25" s="15">
        <f>'Raw Values'!V25</f>
        <v>2.85</v>
      </c>
      <c r="D25" s="22">
        <f>'Raw Values'!AE25</f>
        <v>0.37209799999999998</v>
      </c>
      <c r="E25" s="176"/>
      <c r="F25" s="20">
        <v>0</v>
      </c>
      <c r="G25" s="79">
        <f>'Raw Values'!$V25*(0.1^(B25/'Raw Values'!$AE25))</f>
        <v>0.9953503434225176</v>
      </c>
      <c r="H25" s="79">
        <f>('Raw Values'!$V25+G25)*(0.1^($B25/'Raw Values'!$AE25))</f>
        <v>1.3429722052299997</v>
      </c>
      <c r="I25" s="79">
        <f>('Raw Values'!$V25+H25)*(0.1^($B25/'Raw Values'!$AE25))</f>
        <v>1.4643776576971055</v>
      </c>
      <c r="J25" s="79">
        <f>('Raw Values'!$V25+I25)*(0.1^($B25/'Raw Values'!$AE25))</f>
        <v>1.5067779941204391</v>
      </c>
      <c r="K25" s="79">
        <f>('Raw Values'!$V25+J25)*(0.1^($B25/'Raw Values'!$AE25))</f>
        <v>1.5215861307591041</v>
      </c>
      <c r="L25" s="79">
        <f>('Raw Values'!$V25+K25)*(0.1^($B25/'Raw Values'!$AE25))</f>
        <v>1.5267578093165575</v>
      </c>
      <c r="M25" s="79">
        <f>('Raw Values'!$V25+L25)*(0.1^($B25/'Raw Values'!$AE25))</f>
        <v>1.5285639959931303</v>
      </c>
      <c r="N25" s="79">
        <f>('Raw Values'!$V25+M25)*(0.1^($B25/'Raw Values'!$AE25))</f>
        <v>1.529194798985696</v>
      </c>
      <c r="O25" s="79">
        <f>('Raw Values'!$V25+N25)*(0.1^($B25/'Raw Values'!$AE25))</f>
        <v>1.5294151042401809</v>
      </c>
      <c r="P25" s="79">
        <f>('Raw Values'!$V25+O25)*(0.1^($B25/'Raw Values'!$AE25))</f>
        <v>1.5294920449106051</v>
      </c>
      <c r="Q25" s="79">
        <f>('Raw Values'!$V25+P25)*(0.1^($B25/'Raw Values'!$AE25))</f>
        <v>1.529518916111563</v>
      </c>
      <c r="R25" s="79">
        <f>('Raw Values'!$V25+Q25)*(0.1^($B25/'Raw Values'!$AE25))</f>
        <v>1.5295283007638794</v>
      </c>
      <c r="S25" s="79">
        <f>('Raw Values'!$V25+R25)*(0.1^($B25/'Raw Values'!$AE25))</f>
        <v>1.5295315783136709</v>
      </c>
      <c r="T25" s="79">
        <f>('Raw Values'!$V25+S25)*(0.1^($B25/'Raw Values'!$AE25))</f>
        <v>1.5295327229839553</v>
      </c>
    </row>
    <row r="26" spans="1:20" ht="15.75" customHeight="1" x14ac:dyDescent="0.15">
      <c r="A26" s="9" t="s">
        <v>165</v>
      </c>
      <c r="B26" s="78">
        <v>0.17</v>
      </c>
      <c r="C26" s="15">
        <f>'Raw Values'!V26</f>
        <v>3.42</v>
      </c>
      <c r="D26" s="22">
        <f>'Raw Values'!AE26</f>
        <v>0.349993</v>
      </c>
      <c r="E26" s="176"/>
      <c r="F26" s="20">
        <v>0</v>
      </c>
      <c r="G26" s="79">
        <f>'Raw Values'!$V26*(0.1^(B26/'Raw Values'!$AE26))</f>
        <v>1.1176404354515166</v>
      </c>
      <c r="H26" s="79">
        <f>('Raw Values'!$V26+G26)*(0.1^($B26/'Raw Values'!$AE26))</f>
        <v>1.4828802433334627</v>
      </c>
      <c r="I26" s="79">
        <f>('Raw Values'!$V26+H26)*(0.1^($B26/'Raw Values'!$AE26))</f>
        <v>1.6022389503291956</v>
      </c>
      <c r="J26" s="79">
        <f>('Raw Values'!$V26+I26)*(0.1^($B26/'Raw Values'!$AE26))</f>
        <v>1.6412448325694415</v>
      </c>
      <c r="K26" s="79">
        <f>('Raw Values'!$V26+J26)*(0.1^($B26/'Raw Values'!$AE26))</f>
        <v>1.6539917773683184</v>
      </c>
      <c r="L26" s="79">
        <f>('Raw Values'!$V26+K26)*(0.1^($B26/'Raw Values'!$AE26))</f>
        <v>1.6581574209167669</v>
      </c>
      <c r="M26" s="79">
        <f>('Raw Values'!$V26+L26)*(0.1^($B26/'Raw Values'!$AE26))</f>
        <v>1.6595187342703996</v>
      </c>
      <c r="N26" s="79">
        <f>('Raw Values'!$V26+M26)*(0.1^($B26/'Raw Values'!$AE26))</f>
        <v>1.6599636052789783</v>
      </c>
      <c r="O26" s="79">
        <f>('Raw Values'!$V26+N26)*(0.1^($B26/'Raw Values'!$AE26))</f>
        <v>1.6601089870999572</v>
      </c>
      <c r="P26" s="79">
        <f>('Raw Values'!$V26+O26)*(0.1^($B26/'Raw Values'!$AE26))</f>
        <v>1.6601564972174152</v>
      </c>
      <c r="Q26" s="79">
        <f>('Raw Values'!$V26+P26)*(0.1^($B26/'Raw Values'!$AE26))</f>
        <v>1.6601720233075801</v>
      </c>
      <c r="R26" s="79">
        <f>('Raw Values'!$V26+Q26)*(0.1^($B26/'Raw Values'!$AE26))</f>
        <v>1.6601770971631862</v>
      </c>
      <c r="S26" s="79">
        <f>('Raw Values'!$V26+R26)*(0.1^($B26/'Raw Values'!$AE26))</f>
        <v>1.6601787552761067</v>
      </c>
      <c r="T26" s="79">
        <f>('Raw Values'!$V26+S26)*(0.1^($B26/'Raw Values'!$AE26))</f>
        <v>1.6601792971398632</v>
      </c>
    </row>
    <row r="27" spans="1:20" ht="15.75" customHeight="1" x14ac:dyDescent="0.15">
      <c r="A27" s="39"/>
      <c r="B27" s="101"/>
      <c r="C27" s="43"/>
      <c r="D27" s="192"/>
      <c r="E27" s="194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ht="15.75" customHeight="1" x14ac:dyDescent="0.15">
      <c r="A28" s="1" t="s">
        <v>68</v>
      </c>
      <c r="B28" s="69" t="s">
        <v>238</v>
      </c>
      <c r="C28" s="4" t="s">
        <v>234</v>
      </c>
      <c r="D28" s="7" t="s">
        <v>27</v>
      </c>
      <c r="E28" s="174"/>
      <c r="F28" s="202">
        <v>1</v>
      </c>
      <c r="G28" s="203">
        <v>2</v>
      </c>
      <c r="H28" s="203">
        <v>3</v>
      </c>
      <c r="I28" s="203">
        <v>4</v>
      </c>
      <c r="J28" s="203">
        <v>5</v>
      </c>
      <c r="K28" s="203">
        <v>6</v>
      </c>
      <c r="L28" s="203">
        <v>7</v>
      </c>
      <c r="M28" s="203">
        <v>8</v>
      </c>
      <c r="N28" s="203">
        <v>9</v>
      </c>
      <c r="O28" s="203">
        <v>10</v>
      </c>
      <c r="P28" s="203">
        <v>11</v>
      </c>
      <c r="Q28" s="203">
        <v>12</v>
      </c>
      <c r="R28" s="203">
        <v>13</v>
      </c>
      <c r="S28" s="203">
        <v>14</v>
      </c>
      <c r="T28" s="203">
        <v>15</v>
      </c>
    </row>
    <row r="29" spans="1:20" ht="15.75" customHeight="1" x14ac:dyDescent="0.15">
      <c r="A29" s="36" t="s">
        <v>166</v>
      </c>
      <c r="B29" s="78">
        <v>0.25</v>
      </c>
      <c r="C29" s="15">
        <f>'Raw Values'!V29</f>
        <v>7.8</v>
      </c>
      <c r="D29" s="22">
        <f>'Raw Values'!AE29</f>
        <v>0.36799999999999999</v>
      </c>
      <c r="E29" s="176"/>
      <c r="F29" s="20">
        <v>0</v>
      </c>
      <c r="G29" s="79">
        <f>'Raw Values'!$V29*(0.1^(B29/'Raw Values'!$AE29))</f>
        <v>1.6321000444180842</v>
      </c>
      <c r="H29" s="79">
        <f>('Raw Values'!$V29+G29)*(0.1^($B29/'Raw Values'!$AE29))</f>
        <v>1.9736065258269961</v>
      </c>
      <c r="I29" s="79">
        <f>('Raw Values'!$V29+H29)*(0.1^($B29/'Raw Values'!$AE29))</f>
        <v>2.045064569862451</v>
      </c>
      <c r="J29" s="79">
        <f>('Raw Values'!$V29+I29)*(0.1^($B29/'Raw Values'!$AE29))</f>
        <v>2.060016707919412</v>
      </c>
      <c r="K29" s="79">
        <f>('Raw Values'!$V29+J29)*(0.1^($B29/'Raw Values'!$AE29))</f>
        <v>2.0631453470459391</v>
      </c>
      <c r="L29" s="79">
        <f>('Raw Values'!$V29+K29)*(0.1^($B29/'Raw Values'!$AE29))</f>
        <v>2.0637999947456027</v>
      </c>
      <c r="M29" s="79">
        <f>('Raw Values'!$V29+L29)*(0.1^($B29/'Raw Values'!$AE29))</f>
        <v>2.0639369755840251</v>
      </c>
      <c r="N29" s="79">
        <f>('Raw Values'!$V29+M29)*(0.1^($B29/'Raw Values'!$AE29))</f>
        <v>2.0639656379471631</v>
      </c>
      <c r="O29" s="79">
        <f>('Raw Values'!$V29+N29)*(0.1^($B29/'Raw Values'!$AE29))</f>
        <v>2.0639716353630799</v>
      </c>
      <c r="P29" s="79">
        <f>('Raw Values'!$V29+O29)*(0.1^($B29/'Raw Values'!$AE29))</f>
        <v>2.0639728902839494</v>
      </c>
      <c r="Q29" s="79">
        <f>('Raw Values'!$V29+P29)*(0.1^($B29/'Raw Values'!$AE29))</f>
        <v>2.0639731528681042</v>
      </c>
      <c r="R29" s="79">
        <f>('Raw Values'!$V29+Q29)*(0.1^($B29/'Raw Values'!$AE29))</f>
        <v>2.0639732078121567</v>
      </c>
      <c r="S29" s="79">
        <f>('Raw Values'!$V29+R29)*(0.1^($B29/'Raw Values'!$AE29))</f>
        <v>2.0639732193088478</v>
      </c>
      <c r="T29" s="79">
        <f>('Raw Values'!$V29+S29)*(0.1^($B29/'Raw Values'!$AE29))</f>
        <v>2.0639732217144573</v>
      </c>
    </row>
    <row r="30" spans="1:20" ht="15.75" customHeight="1" x14ac:dyDescent="0.15">
      <c r="A30" s="35" t="s">
        <v>168</v>
      </c>
      <c r="B30" s="78">
        <v>0.25</v>
      </c>
      <c r="C30" s="15">
        <f>'Raw Values'!V30</f>
        <v>7.29</v>
      </c>
      <c r="D30" s="22">
        <f>'Raw Values'!AE30</f>
        <v>0.42972700000000003</v>
      </c>
      <c r="E30" s="176"/>
      <c r="F30" s="20">
        <v>0</v>
      </c>
      <c r="G30" s="79">
        <f>'Raw Values'!$V30*(0.1^(B30/'Raw Values'!$AE30))</f>
        <v>1.9096897915775537</v>
      </c>
      <c r="H30" s="79">
        <f>('Raw Values'!$V30+G30)*(0.1^($B30/'Raw Values'!$AE30))</f>
        <v>2.4099524939171313</v>
      </c>
      <c r="I30" s="79">
        <f>('Raw Values'!$V30+H30)*(0.1^($B30/'Raw Values'!$AE30))</f>
        <v>2.5410014069164304</v>
      </c>
      <c r="J30" s="79">
        <f>('Raw Values'!$V30+I30)*(0.1^($B30/'Raw Values'!$AE30))</f>
        <v>2.5753310051814644</v>
      </c>
      <c r="K30" s="79">
        <f>('Raw Values'!$V30+J30)*(0.1^($B30/'Raw Values'!$AE30))</f>
        <v>2.5843239932961</v>
      </c>
      <c r="L30" s="79">
        <f>('Raw Values'!$V30+K30)*(0.1^($B30/'Raw Values'!$AE30))</f>
        <v>2.5866797981792686</v>
      </c>
      <c r="M30" s="79">
        <f>('Raw Values'!$V30+L30)*(0.1^($B30/'Raw Values'!$AE30))</f>
        <v>2.5872969252761595</v>
      </c>
      <c r="N30" s="79">
        <f>('Raw Values'!$V30+M30)*(0.1^($B30/'Raw Values'!$AE30))</f>
        <v>2.5874585880082637</v>
      </c>
      <c r="O30" s="79">
        <f>('Raw Values'!$V30+N30)*(0.1^($B30/'Raw Values'!$AE30))</f>
        <v>2.587500937208425</v>
      </c>
      <c r="P30" s="79">
        <f>('Raw Values'!$V30+O30)*(0.1^($B30/'Raw Values'!$AE30))</f>
        <v>2.5875120310129831</v>
      </c>
      <c r="Q30" s="79">
        <f>('Raw Values'!$V30+P30)*(0.1^($B30/'Raw Values'!$AE30))</f>
        <v>2.5875149371481432</v>
      </c>
      <c r="R30" s="79">
        <f>('Raw Values'!$V30+Q30)*(0.1^($B30/'Raw Values'!$AE30))</f>
        <v>2.5875156984398644</v>
      </c>
      <c r="S30" s="79">
        <f>('Raw Values'!$V30+R30)*(0.1^($B30/'Raw Values'!$AE30))</f>
        <v>2.5875158978679891</v>
      </c>
      <c r="T30" s="79">
        <f>('Raw Values'!$V30+S30)*(0.1^($B30/'Raw Values'!$AE30))</f>
        <v>2.5875159501102183</v>
      </c>
    </row>
    <row r="31" spans="1:20" ht="15.75" customHeight="1" x14ac:dyDescent="0.15">
      <c r="A31" s="35" t="s">
        <v>169</v>
      </c>
      <c r="B31" s="78">
        <v>0.25</v>
      </c>
      <c r="C31" s="15">
        <f>'Raw Values'!V31</f>
        <v>6.05</v>
      </c>
      <c r="D31" s="22">
        <f>'Raw Values'!AE31</f>
        <v>0.25</v>
      </c>
      <c r="E31" s="176"/>
      <c r="F31" s="20">
        <v>0</v>
      </c>
      <c r="G31" s="79">
        <f>'Raw Values'!$V31*(0.1^(B31/'Raw Values'!$AE31))</f>
        <v>0.60499999999999998</v>
      </c>
      <c r="H31" s="79">
        <f>('Raw Values'!$V31+G31)*(0.1^($B31/'Raw Values'!$AE31))</f>
        <v>0.66549999999999998</v>
      </c>
      <c r="I31" s="79">
        <f>('Raw Values'!$V31+H31)*(0.1^($B31/'Raw Values'!$AE31))</f>
        <v>0.67154999999999998</v>
      </c>
      <c r="J31" s="79">
        <f>('Raw Values'!$V31+I31)*(0.1^($B31/'Raw Values'!$AE31))</f>
        <v>0.67215500000000006</v>
      </c>
      <c r="K31" s="79">
        <f>('Raw Values'!$V31+J31)*(0.1^($B31/'Raw Values'!$AE31))</f>
        <v>0.67221550000000008</v>
      </c>
      <c r="L31" s="79">
        <f>('Raw Values'!$V31+K31)*(0.1^($B31/'Raw Values'!$AE31))</f>
        <v>0.67222155000000006</v>
      </c>
      <c r="M31" s="79">
        <f>('Raw Values'!$V31+L31)*(0.1^($B31/'Raw Values'!$AE31))</f>
        <v>0.67222215500000004</v>
      </c>
      <c r="N31" s="79">
        <f>('Raw Values'!$V31+M31)*(0.1^($B31/'Raw Values'!$AE31))</f>
        <v>0.67222221550000005</v>
      </c>
      <c r="O31" s="79">
        <f>('Raw Values'!$V31+N31)*(0.1^($B31/'Raw Values'!$AE31))</f>
        <v>0.67222222155</v>
      </c>
      <c r="P31" s="79">
        <f>('Raw Values'!$V31+O31)*(0.1^($B31/'Raw Values'!$AE31))</f>
        <v>0.67222222215500005</v>
      </c>
      <c r="Q31" s="79">
        <f>('Raw Values'!$V31+P31)*(0.1^($B31/'Raw Values'!$AE31))</f>
        <v>0.67222222221549999</v>
      </c>
      <c r="R31" s="79">
        <f>('Raw Values'!$V31+Q31)*(0.1^($B31/'Raw Values'!$AE31))</f>
        <v>0.67222222222155004</v>
      </c>
      <c r="S31" s="79">
        <f>('Raw Values'!$V31+R31)*(0.1^($B31/'Raw Values'!$AE31))</f>
        <v>0.672222222222155</v>
      </c>
      <c r="T31" s="79">
        <f>('Raw Values'!$V31+S31)*(0.1^($B31/'Raw Values'!$AE31))</f>
        <v>0.6722222222222155</v>
      </c>
    </row>
    <row r="32" spans="1:20" ht="15.75" customHeight="1" x14ac:dyDescent="0.15">
      <c r="A32" s="36" t="s">
        <v>170</v>
      </c>
      <c r="B32" s="78">
        <v>0.25</v>
      </c>
      <c r="C32" s="15">
        <f>'Raw Values'!V32</f>
        <v>7</v>
      </c>
      <c r="D32" s="22">
        <f>'Raw Values'!AE32</f>
        <v>0.3</v>
      </c>
      <c r="E32" s="176"/>
      <c r="F32" s="20">
        <v>0</v>
      </c>
      <c r="G32" s="79">
        <f>'Raw Values'!$V32*(0.1^(B32/'Raw Values'!$AE32))</f>
        <v>1.0274594873354488</v>
      </c>
      <c r="H32" s="79">
        <f>('Raw Values'!$V32+G32)*(0.1^($B32/'Raw Values'!$AE32))</f>
        <v>1.1782699156376806</v>
      </c>
      <c r="I32" s="79">
        <f>('Raw Values'!$V32+H32)*(0.1^($B32/'Raw Values'!$AE32))</f>
        <v>1.2004058592588596</v>
      </c>
      <c r="J32" s="79">
        <f>('Raw Values'!$V32+I32)*(0.1^($B32/'Raw Values'!$AE32))</f>
        <v>1.2036549714423883</v>
      </c>
      <c r="K32" s="79">
        <f>('Raw Values'!$V32+J32)*(0.1^($B32/'Raw Values'!$AE32))</f>
        <v>1.2041318758907289</v>
      </c>
      <c r="L32" s="79">
        <f>('Raw Values'!$V32+K32)*(0.1^($B32/'Raw Values'!$AE32))</f>
        <v>1.2042018758907289</v>
      </c>
      <c r="M32" s="79">
        <f>('Raw Values'!$V32+L32)*(0.1^($B32/'Raw Values'!$AE32))</f>
        <v>1.204212150485602</v>
      </c>
      <c r="N32" s="79">
        <f>('Raw Values'!$V32+M32)*(0.1^($B32/'Raw Values'!$AE32))</f>
        <v>1.2042136585898853</v>
      </c>
      <c r="O32" s="79">
        <f>('Raw Values'!$V32+N32)*(0.1^($B32/'Raw Values'!$AE32))</f>
        <v>1.2042138799493216</v>
      </c>
      <c r="P32" s="79">
        <f>('Raw Values'!$V32+O32)*(0.1^($B32/'Raw Values'!$AE32))</f>
        <v>1.2042139124404434</v>
      </c>
      <c r="Q32" s="79">
        <f>('Raw Values'!$V32+P32)*(0.1^($B32/'Raw Values'!$AE32))</f>
        <v>1.2042139172094879</v>
      </c>
      <c r="R32" s="79">
        <f>('Raw Values'!$V32+Q32)*(0.1^($B32/'Raw Values'!$AE32))</f>
        <v>1.2042139179094877</v>
      </c>
      <c r="S32" s="79">
        <f>('Raw Values'!$V32+R32)*(0.1^($B32/'Raw Values'!$AE32))</f>
        <v>1.2042139180122338</v>
      </c>
      <c r="T32" s="79">
        <f>('Raw Values'!$V32+S32)*(0.1^($B32/'Raw Values'!$AE32))</f>
        <v>1.2042139180273148</v>
      </c>
    </row>
    <row r="33" spans="1:20" ht="15.75" customHeight="1" x14ac:dyDescent="0.15">
      <c r="A33" s="35" t="s">
        <v>171</v>
      </c>
      <c r="B33" s="78">
        <v>0.25</v>
      </c>
      <c r="C33" s="15">
        <f>'Raw Values'!V33</f>
        <v>7</v>
      </c>
      <c r="D33" s="22">
        <f>'Raw Values'!AE33</f>
        <v>0.33894099999999999</v>
      </c>
      <c r="E33" s="176"/>
      <c r="F33" s="20">
        <v>0</v>
      </c>
      <c r="G33" s="79">
        <f>'Raw Values'!$V33*(0.1^(B33/'Raw Values'!$AE33))</f>
        <v>1.2808743882346776</v>
      </c>
      <c r="H33" s="79">
        <f>('Raw Values'!$V33+G33)*(0.1^($B33/'Raw Values'!$AE33))</f>
        <v>1.5152514165826145</v>
      </c>
      <c r="I33" s="79">
        <f>('Raw Values'!$V33+H33)*(0.1^($B33/'Raw Values'!$AE33))</f>
        <v>1.5581382069828182</v>
      </c>
      <c r="J33" s="79">
        <f>('Raw Values'!$V33+I33)*(0.1^($B33/'Raw Values'!$AE33))</f>
        <v>1.5659857200424194</v>
      </c>
      <c r="K33" s="79">
        <f>('Raw Values'!$V33+J33)*(0.1^($B33/'Raw Values'!$AE33))</f>
        <v>1.567421674112331</v>
      </c>
      <c r="L33" s="79">
        <f>('Raw Values'!$V33+K33)*(0.1^($B33/'Raw Values'!$AE33))</f>
        <v>1.5676844279395927</v>
      </c>
      <c r="M33" s="79">
        <f>('Raw Values'!$V33+L33)*(0.1^($B33/'Raw Values'!$AE33))</f>
        <v>1.5677325071749855</v>
      </c>
      <c r="N33" s="79">
        <f>('Raw Values'!$V33+M33)*(0.1^($B33/'Raw Values'!$AE33))</f>
        <v>1.5677413048123028</v>
      </c>
      <c r="O33" s="79">
        <f>('Raw Values'!$V33+N33)*(0.1^($B33/'Raw Values'!$AE33))</f>
        <v>1.5677429146220623</v>
      </c>
      <c r="P33" s="79">
        <f>('Raw Values'!$V33+O33)*(0.1^($B33/'Raw Values'!$AE33))</f>
        <v>1.567743209188361</v>
      </c>
      <c r="Q33" s="79">
        <f>('Raw Values'!$V33+P33)*(0.1^($B33/'Raw Values'!$AE33))</f>
        <v>1.5677432630887078</v>
      </c>
      <c r="R33" s="79">
        <f>('Raw Values'!$V33+Q33)*(0.1^($B33/'Raw Values'!$AE33))</f>
        <v>1.5677432729515042</v>
      </c>
      <c r="S33" s="79">
        <f>('Raw Values'!$V33+R33)*(0.1^($B33/'Raw Values'!$AE33))</f>
        <v>1.5677432747562186</v>
      </c>
      <c r="T33" s="79">
        <f>('Raw Values'!$V33+S33)*(0.1^($B33/'Raw Values'!$AE33))</f>
        <v>1.5677432750864491</v>
      </c>
    </row>
    <row r="34" spans="1:20" ht="15.75" customHeight="1" x14ac:dyDescent="0.15">
      <c r="A34" s="35" t="s">
        <v>172</v>
      </c>
      <c r="B34" s="78">
        <v>0.25</v>
      </c>
      <c r="C34" s="15">
        <f>'Raw Values'!V34</f>
        <v>12</v>
      </c>
      <c r="D34" s="22">
        <f>'Raw Values'!AE34</f>
        <v>0.33894099999999999</v>
      </c>
      <c r="E34" s="176"/>
      <c r="F34" s="20">
        <v>0</v>
      </c>
      <c r="G34" s="79">
        <f>'Raw Values'!$AM34*(0.1^(B34/'Raw Values'!$AE34))</f>
        <v>1.2808743882346776</v>
      </c>
      <c r="H34" s="79">
        <f>('Raw Values'!$AM34+G34)*(0.1^($B34/'Raw Values'!$AE34))</f>
        <v>1.5152514165826145</v>
      </c>
      <c r="I34" s="79">
        <f>('Raw Values'!$AM34+H34)*(0.1^($B34/'Raw Values'!$AE34))</f>
        <v>1.5581382069828182</v>
      </c>
      <c r="J34" s="79">
        <f>('Raw Values'!$AM34+I34)*(0.1^($B34/'Raw Values'!$AE34))</f>
        <v>1.5659857200424194</v>
      </c>
      <c r="K34" s="79">
        <f>('Raw Values'!$AM34+J34)*(0.1^($B34/'Raw Values'!$AE34))</f>
        <v>1.567421674112331</v>
      </c>
      <c r="L34" s="79">
        <f>('Raw Values'!$AM34+K34)*(0.1^($B34/'Raw Values'!$AE34))</f>
        <v>1.5676844279395927</v>
      </c>
      <c r="M34" s="79">
        <f>('Raw Values'!$AM34+L34)*(0.1^($B34/'Raw Values'!$AE34))</f>
        <v>1.5677325071749855</v>
      </c>
      <c r="N34" s="79">
        <f>('Raw Values'!$AM34+M34)*(0.1^($B34/'Raw Values'!$AE34))</f>
        <v>1.5677413048123028</v>
      </c>
      <c r="O34" s="79">
        <f>('Raw Values'!$AM34+N34)*(0.1^($B34/'Raw Values'!$AE34))</f>
        <v>1.5677429146220623</v>
      </c>
      <c r="P34" s="79">
        <f>('Raw Values'!$AM34+O34)*(0.1^($B34/'Raw Values'!$AE34))</f>
        <v>1.567743209188361</v>
      </c>
      <c r="Q34" s="79">
        <f>('Raw Values'!$AM34+P34)*(0.1^($B34/'Raw Values'!$AE34))</f>
        <v>1.5677432630887078</v>
      </c>
      <c r="R34" s="79">
        <f>('Raw Values'!$AM34+Q34)*(0.1^($B34/'Raw Values'!$AE34))</f>
        <v>1.5677432729515042</v>
      </c>
      <c r="S34" s="79">
        <f>('Raw Values'!$AM34+R34)*(0.1^($B34/'Raw Values'!$AE34))</f>
        <v>1.5677432747562186</v>
      </c>
      <c r="T34" s="79">
        <f>('Raw Values'!$AM34+S34)*(0.1^($B34/'Raw Values'!$AE34))</f>
        <v>1.5677432750864491</v>
      </c>
    </row>
    <row r="35" spans="1:20" ht="15.75" customHeight="1" x14ac:dyDescent="0.15">
      <c r="A35" s="36" t="s">
        <v>173</v>
      </c>
      <c r="B35" s="78">
        <v>0.25</v>
      </c>
      <c r="C35" s="15">
        <f>'Raw Values'!V35</f>
        <v>7.95</v>
      </c>
      <c r="D35" s="22">
        <f>'Raw Values'!AE35</f>
        <v>0.45288600000000001</v>
      </c>
      <c r="E35" s="176"/>
      <c r="F35" s="20">
        <v>0</v>
      </c>
      <c r="G35" s="79">
        <f>'Raw Values'!$V35*(0.1^(B35/'Raw Values'!$AE35))</f>
        <v>2.2302411834962164</v>
      </c>
      <c r="H35" s="79">
        <f>('Raw Values'!$V35+G35)*(0.1^($B35/'Raw Values'!$AE35))</f>
        <v>2.8558985088500033</v>
      </c>
      <c r="I35" s="79">
        <f>('Raw Values'!$V35+H35)*(0.1^($B35/'Raw Values'!$AE35))</f>
        <v>3.0314163369959286</v>
      </c>
      <c r="J35" s="79">
        <f>('Raw Values'!$V35+I35)*(0.1^($B35/'Raw Values'!$AE35))</f>
        <v>3.0806549645140238</v>
      </c>
      <c r="K35" s="79">
        <f>('Raw Values'!$V35+J35)*(0.1^($B35/'Raw Values'!$AE35))</f>
        <v>3.0944680481504623</v>
      </c>
      <c r="L35" s="79">
        <f>('Raw Values'!$V35+K35)*(0.1^($B35/'Raw Values'!$AE35))</f>
        <v>3.0983430806029228</v>
      </c>
      <c r="M35" s="79">
        <f>('Raw Values'!$V35+L35)*(0.1^($B35/'Raw Values'!$AE35))</f>
        <v>3.0994301569504525</v>
      </c>
      <c r="N35" s="79">
        <f>('Raw Values'!$V35+M35)*(0.1^($B35/'Raw Values'!$AE35))</f>
        <v>3.0997351182636432</v>
      </c>
      <c r="O35" s="79">
        <f>('Raw Values'!$V35+N35)*(0.1^($B35/'Raw Values'!$AE35))</f>
        <v>3.0998206701227691</v>
      </c>
      <c r="P35" s="79">
        <f>('Raw Values'!$V35+O35)*(0.1^($B35/'Raw Values'!$AE35))</f>
        <v>3.0998446702837188</v>
      </c>
      <c r="Q35" s="79">
        <f>('Raw Values'!$V35+P35)*(0.1^($B35/'Raw Values'!$AE35))</f>
        <v>3.0998514031324427</v>
      </c>
      <c r="R35" s="79">
        <f>('Raw Values'!$V35+Q35)*(0.1^($B35/'Raw Values'!$AE35))</f>
        <v>3.0998532919219408</v>
      </c>
      <c r="S35" s="79">
        <f>('Raw Values'!$V35+R35)*(0.1^($B35/'Raw Values'!$AE35))</f>
        <v>3.099853821790636</v>
      </c>
      <c r="T35" s="79">
        <f>('Raw Values'!$V35+S35)*(0.1^($B35/'Raw Values'!$AE35))</f>
        <v>3.0998539704365458</v>
      </c>
    </row>
    <row r="36" spans="1:20" ht="15.75" customHeight="1" x14ac:dyDescent="0.15">
      <c r="A36" s="39"/>
      <c r="B36" s="101"/>
      <c r="C36" s="43"/>
      <c r="D36" s="192"/>
      <c r="E36" s="194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ht="15.75" customHeight="1" x14ac:dyDescent="0.15">
      <c r="A37" s="1" t="s">
        <v>79</v>
      </c>
      <c r="B37" s="69" t="s">
        <v>238</v>
      </c>
      <c r="C37" s="4" t="s">
        <v>234</v>
      </c>
      <c r="D37" s="7" t="s">
        <v>27</v>
      </c>
      <c r="E37" s="174"/>
      <c r="F37" s="202">
        <v>1</v>
      </c>
      <c r="G37" s="203">
        <v>2</v>
      </c>
      <c r="H37" s="203">
        <v>3</v>
      </c>
      <c r="I37" s="203">
        <v>4</v>
      </c>
      <c r="J37" s="203">
        <v>5</v>
      </c>
      <c r="K37" s="203">
        <v>6</v>
      </c>
      <c r="L37" s="203">
        <v>7</v>
      </c>
      <c r="M37" s="203">
        <v>8</v>
      </c>
      <c r="N37" s="203">
        <v>9</v>
      </c>
      <c r="O37" s="203">
        <v>10</v>
      </c>
      <c r="P37" s="203">
        <v>11</v>
      </c>
      <c r="Q37" s="203">
        <v>12</v>
      </c>
      <c r="R37" s="203">
        <v>13</v>
      </c>
      <c r="S37" s="203">
        <v>14</v>
      </c>
      <c r="T37" s="203">
        <v>15</v>
      </c>
    </row>
    <row r="38" spans="1:20" ht="15.75" customHeight="1" x14ac:dyDescent="0.15">
      <c r="A38" s="9" t="s">
        <v>174</v>
      </c>
      <c r="B38" s="78">
        <v>0.25</v>
      </c>
      <c r="C38" s="15">
        <f>'Raw Values'!V38</f>
        <v>3.56</v>
      </c>
      <c r="D38" s="22">
        <f>'Raw Values'!AE38</f>
        <v>0.82893099999999997</v>
      </c>
      <c r="E38" s="176"/>
      <c r="F38" s="20">
        <v>0</v>
      </c>
      <c r="G38" s="79">
        <f>'Raw Values'!$V38*(0.1^(B38/'Raw Values'!$AE38))</f>
        <v>1.777692913266822</v>
      </c>
      <c r="H38" s="79">
        <f>('Raw Values'!$V38+G38)*(0.1^($B38/'Raw Values'!$AE38))</f>
        <v>2.6653873216598218</v>
      </c>
      <c r="I38" s="79">
        <f>('Raw Values'!$V38+H38)*(0.1^($B38/'Raw Values'!$AE38))</f>
        <v>3.1086592483302771</v>
      </c>
      <c r="J38" s="79">
        <f>('Raw Values'!$V38+I38)*(0.1^($B38/'Raw Values'!$AE38))</f>
        <v>3.3300079457157259</v>
      </c>
      <c r="K38" s="79">
        <f>('Raw Values'!$V38+J38)*(0.1^($B38/'Raw Values'!$AE38))</f>
        <v>3.4405388475985785</v>
      </c>
      <c r="L38" s="79">
        <f>('Raw Values'!$V38+K38)*(0.1^($B38/'Raw Values'!$AE38))</f>
        <v>3.4957326680969318</v>
      </c>
      <c r="M38" s="79">
        <f>('Raw Values'!$V38+L38)*(0.1^($B38/'Raw Values'!$AE38))</f>
        <v>3.5232938095452586</v>
      </c>
      <c r="N38" s="79">
        <f>('Raw Values'!$V38+M38)*(0.1^($B38/'Raw Values'!$AE38))</f>
        <v>3.5370565190492571</v>
      </c>
      <c r="O38" s="79">
        <f>('Raw Values'!$V38+N38)*(0.1^($B38/'Raw Values'!$AE38))</f>
        <v>3.5439289547662818</v>
      </c>
      <c r="P38" s="79">
        <f>('Raw Values'!$V38+O38)*(0.1^($B38/'Raw Values'!$AE38))</f>
        <v>3.5473607188873597</v>
      </c>
      <c r="Q38" s="79">
        <f>('Raw Values'!$V38+P38)*(0.1^($B38/'Raw Values'!$AE38))</f>
        <v>3.549074376965462</v>
      </c>
      <c r="R38" s="79">
        <f>('Raw Values'!$V38+Q38)*(0.1^($B38/'Raw Values'!$AE38))</f>
        <v>3.5499300954545645</v>
      </c>
      <c r="S38" s="79">
        <f>('Raw Values'!$V38+R38)*(0.1^($B38/'Raw Values'!$AE38))</f>
        <v>3.550357400143842</v>
      </c>
      <c r="T38" s="79">
        <f>('Raw Values'!$V38+S38)*(0.1^($B38/'Raw Values'!$AE38))</f>
        <v>3.550570775570228</v>
      </c>
    </row>
    <row r="39" spans="1:20" ht="15.75" customHeight="1" x14ac:dyDescent="0.15">
      <c r="A39" s="9" t="s">
        <v>176</v>
      </c>
      <c r="B39" s="78">
        <v>0.25</v>
      </c>
      <c r="C39" s="15">
        <f>'Raw Values'!V39</f>
        <v>30</v>
      </c>
      <c r="D39" s="22">
        <f>'Raw Values'!AE39</f>
        <v>0.3</v>
      </c>
      <c r="E39" s="176"/>
      <c r="F39" s="20">
        <v>0</v>
      </c>
      <c r="G39" s="79">
        <f>'Raw Values'!$V39*(0.1^(B39/'Raw Values'!$AE39))</f>
        <v>4.4033978028662091</v>
      </c>
      <c r="H39" s="79">
        <f>('Raw Values'!$V39+G39)*(0.1^($B39/'Raw Values'!$AE39))</f>
        <v>5.0497282098757745</v>
      </c>
      <c r="I39" s="79">
        <f>('Raw Values'!$V39+H39)*(0.1^($B39/'Raw Values'!$AE39))</f>
        <v>5.1445965396808253</v>
      </c>
      <c r="J39" s="79">
        <f>('Raw Values'!$V39+I39)*(0.1^($B39/'Raw Values'!$AE39))</f>
        <v>5.1585213061816644</v>
      </c>
      <c r="K39" s="79">
        <f>('Raw Values'!$V39+J39)*(0.1^($B39/'Raw Values'!$AE39))</f>
        <v>5.1605651823888374</v>
      </c>
      <c r="L39" s="79">
        <f>('Raw Values'!$V39+K39)*(0.1^($B39/'Raw Values'!$AE39))</f>
        <v>5.1608651823888376</v>
      </c>
      <c r="M39" s="79">
        <f>('Raw Values'!$V39+L39)*(0.1^($B39/'Raw Values'!$AE39))</f>
        <v>5.1609092163668668</v>
      </c>
      <c r="N39" s="79">
        <f>('Raw Values'!$V39+M39)*(0.1^($B39/'Raw Values'!$AE39))</f>
        <v>5.1609156796709366</v>
      </c>
      <c r="O39" s="79">
        <f>('Raw Values'!$V39+N39)*(0.1^($B39/'Raw Values'!$AE39))</f>
        <v>5.1609166283542347</v>
      </c>
      <c r="P39" s="79">
        <f>('Raw Values'!$V39+O39)*(0.1^($B39/'Raw Values'!$AE39))</f>
        <v>5.1609167676018997</v>
      </c>
      <c r="Q39" s="79">
        <f>('Raw Values'!$V39+P39)*(0.1^($B39/'Raw Values'!$AE39))</f>
        <v>5.1609167880406615</v>
      </c>
      <c r="R39" s="79">
        <f>('Raw Values'!$V39+Q39)*(0.1^($B39/'Raw Values'!$AE39))</f>
        <v>5.1609167910406617</v>
      </c>
      <c r="S39" s="79">
        <f>('Raw Values'!$V39+R39)*(0.1^($B39/'Raw Values'!$AE39))</f>
        <v>5.1609167914810019</v>
      </c>
      <c r="T39" s="79">
        <f>('Raw Values'!$V39+S39)*(0.1^($B39/'Raw Values'!$AE39))</f>
        <v>5.1609167915456347</v>
      </c>
    </row>
    <row r="40" spans="1:20" ht="15.75" customHeight="1" x14ac:dyDescent="0.15">
      <c r="A40" s="39"/>
      <c r="B40" s="101"/>
      <c r="C40" s="43"/>
      <c r="D40" s="192"/>
      <c r="E40" s="194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ht="15.75" customHeight="1" x14ac:dyDescent="0.15">
      <c r="A41" s="1" t="s">
        <v>82</v>
      </c>
      <c r="B41" s="69" t="s">
        <v>238</v>
      </c>
      <c r="C41" s="4" t="s">
        <v>234</v>
      </c>
      <c r="D41" s="7" t="s">
        <v>27</v>
      </c>
      <c r="E41" s="174"/>
      <c r="F41" s="202">
        <v>1</v>
      </c>
      <c r="G41" s="203">
        <v>2</v>
      </c>
      <c r="H41" s="203">
        <v>3</v>
      </c>
      <c r="I41" s="203">
        <v>4</v>
      </c>
      <c r="J41" s="203">
        <v>5</v>
      </c>
      <c r="K41" s="203">
        <v>6</v>
      </c>
      <c r="L41" s="203">
        <v>7</v>
      </c>
      <c r="M41" s="203">
        <v>8</v>
      </c>
      <c r="N41" s="203">
        <v>9</v>
      </c>
      <c r="O41" s="203">
        <v>10</v>
      </c>
      <c r="P41" s="203">
        <v>11</v>
      </c>
      <c r="Q41" s="203">
        <v>12</v>
      </c>
      <c r="R41" s="203">
        <v>13</v>
      </c>
      <c r="S41" s="203">
        <v>14</v>
      </c>
      <c r="T41" s="203">
        <v>15</v>
      </c>
    </row>
    <row r="42" spans="1:20" ht="15.75" customHeight="1" x14ac:dyDescent="0.15">
      <c r="A42" s="9" t="s">
        <v>177</v>
      </c>
      <c r="B42" s="83">
        <f>'Raw Values'!F42</f>
        <v>1.4550000000000001</v>
      </c>
      <c r="C42" s="15">
        <f>'Raw Values'!V42</f>
        <v>53.85</v>
      </c>
      <c r="D42" s="22">
        <f>'Raw Values'!AE42</f>
        <v>0.34538999999999997</v>
      </c>
      <c r="E42" s="176"/>
      <c r="F42" s="20">
        <v>0</v>
      </c>
      <c r="G42" s="79">
        <f>'Raw Values'!$AM42*(0.1^(B42/'Raw Values'!$AE42))</f>
        <v>3.3003234547932222E-3</v>
      </c>
      <c r="H42" s="79">
        <f>('Raw Values'!$AM42+G42)*(0.1^($B42/'Raw Values'!$AE42))</f>
        <v>3.3005257228509058E-3</v>
      </c>
      <c r="I42" s="79">
        <f>('Raw Values'!$AM42+H42)*(0.1^($B42/'Raw Values'!$AE42))</f>
        <v>3.3005257352473772E-3</v>
      </c>
      <c r="J42" s="79">
        <f>('Raw Values'!$AM42+I42)*(0.1^($B42/'Raw Values'!$AE42))</f>
        <v>3.3005257352481374E-3</v>
      </c>
      <c r="K42" s="79">
        <f>('Raw Values'!$AM42+J42)*(0.1^($B42/'Raw Values'!$AE42))</f>
        <v>3.3005257352481374E-3</v>
      </c>
      <c r="L42" s="79">
        <f>('Raw Values'!$AM42+K42)*(0.1^($B42/'Raw Values'!$AE42))</f>
        <v>3.3005257352481374E-3</v>
      </c>
      <c r="M42" s="79">
        <f>('Raw Values'!$AM42+L42)*(0.1^($B42/'Raw Values'!$AE42))</f>
        <v>3.3005257352481374E-3</v>
      </c>
      <c r="N42" s="79">
        <f>('Raw Values'!$AM42+M42)*(0.1^($B42/'Raw Values'!$AE42))</f>
        <v>3.3005257352481374E-3</v>
      </c>
      <c r="O42" s="79">
        <f>('Raw Values'!$AM42+N42)*(0.1^($B42/'Raw Values'!$AE42))</f>
        <v>3.3005257352481374E-3</v>
      </c>
      <c r="P42" s="190"/>
      <c r="Q42" s="190"/>
      <c r="R42" s="190"/>
      <c r="S42" s="190"/>
      <c r="T42" s="190"/>
    </row>
    <row r="43" spans="1:20" ht="15.75" customHeight="1" x14ac:dyDescent="0.15">
      <c r="A43" s="36" t="s">
        <v>179</v>
      </c>
      <c r="B43" s="78">
        <v>0.55000000000000004</v>
      </c>
      <c r="C43" s="15">
        <f>'Raw Values'!V43</f>
        <v>18.61</v>
      </c>
      <c r="D43" s="22">
        <f>'Raw Values'!AE43</f>
        <v>0.54433100000000001</v>
      </c>
      <c r="E43" s="176"/>
      <c r="F43" s="20">
        <v>0</v>
      </c>
      <c r="G43" s="79">
        <f>'Raw Values'!$AM43*(0.1^(B43/'Raw Values'!$AE43))</f>
        <v>1.8169030505213752</v>
      </c>
      <c r="H43" s="79">
        <f>('Raw Values'!$AM43+G43)*(0.1^($B43/'Raw Values'!$AE43))</f>
        <v>1.9942881496612934</v>
      </c>
      <c r="I43" s="79">
        <f>('Raw Values'!$AM43+H43)*(0.1^($B43/'Raw Values'!$AE43))</f>
        <v>2.0116063402977447</v>
      </c>
      <c r="J43" s="79">
        <f>('Raw Values'!$AM43+I43)*(0.1^($B43/'Raw Values'!$AE43))</f>
        <v>2.0132971233926868</v>
      </c>
      <c r="K43" s="79">
        <f>('Raw Values'!$AM43+J43)*(0.1^($B43/'Raw Values'!$AE43))</f>
        <v>2.013462195341261</v>
      </c>
      <c r="L43" s="79">
        <f>('Raw Values'!$AM43+K43)*(0.1^($B43/'Raw Values'!$AE43))</f>
        <v>2.0134783113932184</v>
      </c>
      <c r="M43" s="79">
        <f>('Raw Values'!$AM43+L43)*(0.1^($B43/'Raw Values'!$AE43))</f>
        <v>2.0134798848109488</v>
      </c>
      <c r="N43" s="79">
        <f>('Raw Values'!$AM43+M43)*(0.1^($B43/'Raw Values'!$AE43))</f>
        <v>2.0134800384244618</v>
      </c>
      <c r="O43" s="79">
        <f>('Raw Values'!$AM43+N43)*(0.1^($B43/'Raw Values'!$AE43))</f>
        <v>2.0134800534218211</v>
      </c>
      <c r="P43" s="79">
        <f>('Raw Values'!$AM43+O43)*(0.1^($B43/'Raw Values'!$AE43))</f>
        <v>2.0134800548860206</v>
      </c>
      <c r="Q43" s="79">
        <f>('Raw Values'!$AM43+P43)*(0.1^($B43/'Raw Values'!$AE43))</f>
        <v>2.0134800550289706</v>
      </c>
      <c r="R43" s="79">
        <f>('Raw Values'!$AM43+Q43)*(0.1^($B43/'Raw Values'!$AE43))</f>
        <v>2.013480055042927</v>
      </c>
      <c r="S43" s="79">
        <f>('Raw Values'!$AM43+R43)*(0.1^($B43/'Raw Values'!$AE43))</f>
        <v>2.0134800550442895</v>
      </c>
      <c r="T43" s="79">
        <f>('Raw Values'!$AM43+S43)*(0.1^($B43/'Raw Values'!$AE43))</f>
        <v>2.0134800550444227</v>
      </c>
    </row>
    <row r="44" spans="1:20" ht="15.75" customHeight="1" x14ac:dyDescent="0.15">
      <c r="A44" s="35" t="s">
        <v>180</v>
      </c>
      <c r="B44" s="78">
        <v>0.55000000000000004</v>
      </c>
      <c r="C44" s="15">
        <f>'Raw Values'!V44</f>
        <v>18.61</v>
      </c>
      <c r="D44" s="22">
        <f>'Raw Values'!AE44</f>
        <v>0.54433100000000001</v>
      </c>
      <c r="E44" s="176"/>
      <c r="F44" s="20">
        <v>0</v>
      </c>
      <c r="G44" s="79">
        <f>'Raw Values'!$AM44*(0.1^(B44/'Raw Values'!$AE44))</f>
        <v>1.8169030505213752</v>
      </c>
      <c r="H44" s="79">
        <f>('Raw Values'!$AM44+G44)*(0.1^($B44/'Raw Values'!$AE44))</f>
        <v>1.9942881496612934</v>
      </c>
      <c r="I44" s="79">
        <f>('Raw Values'!$AM44+H44)*(0.1^($B44/'Raw Values'!$AE44))</f>
        <v>2.0116063402977447</v>
      </c>
      <c r="J44" s="79">
        <f>('Raw Values'!$AM44+I44)*(0.1^($B44/'Raw Values'!$AE44))</f>
        <v>2.0132971233926868</v>
      </c>
      <c r="K44" s="79">
        <f>('Raw Values'!$AM44+J44)*(0.1^($B44/'Raw Values'!$AE44))</f>
        <v>2.013462195341261</v>
      </c>
      <c r="L44" s="79">
        <f>('Raw Values'!$AM44+K44)*(0.1^($B44/'Raw Values'!$AE44))</f>
        <v>2.0134783113932184</v>
      </c>
      <c r="M44" s="79">
        <f>('Raw Values'!$AM44+L44)*(0.1^($B44/'Raw Values'!$AE44))</f>
        <v>2.0134798848109488</v>
      </c>
      <c r="N44" s="79">
        <f>('Raw Values'!$AM44+M44)*(0.1^($B44/'Raw Values'!$AE44))</f>
        <v>2.0134800384244618</v>
      </c>
      <c r="O44" s="79">
        <f>('Raw Values'!$AM44+N44)*(0.1^($B44/'Raw Values'!$AE44))</f>
        <v>2.0134800534218211</v>
      </c>
      <c r="P44" s="79">
        <f>('Raw Values'!$AM44+O44)*(0.1^($B44/'Raw Values'!$AE44))</f>
        <v>2.0134800548860206</v>
      </c>
      <c r="Q44" s="79">
        <f>('Raw Values'!$AM44+P44)*(0.1^($B44/'Raw Values'!$AE44))</f>
        <v>2.0134800550289706</v>
      </c>
      <c r="R44" s="79">
        <f>('Raw Values'!$AM44+Q44)*(0.1^($B44/'Raw Values'!$AE44))</f>
        <v>2.013480055042927</v>
      </c>
      <c r="S44" s="79">
        <f>('Raw Values'!$AM44+R44)*(0.1^($B44/'Raw Values'!$AE44))</f>
        <v>2.0134800550442895</v>
      </c>
      <c r="T44" s="79">
        <f>('Raw Values'!$AM44+S44)*(0.1^($B44/'Raw Values'!$AE44))</f>
        <v>2.0134800550444227</v>
      </c>
    </row>
    <row r="45" spans="1:20" ht="15.75" customHeight="1" x14ac:dyDescent="0.15">
      <c r="A45" s="9" t="s">
        <v>181</v>
      </c>
      <c r="B45" s="83">
        <f>'Raw Values'!F45</f>
        <v>1.25</v>
      </c>
      <c r="C45" s="15">
        <f>'Raw Values'!V45</f>
        <v>22.92</v>
      </c>
      <c r="D45" s="22">
        <f>'Raw Values'!AE45</f>
        <v>0.142096</v>
      </c>
      <c r="E45" s="176"/>
      <c r="F45" s="20">
        <v>0</v>
      </c>
      <c r="G45" s="79">
        <f>'Raw Values'!$AM45*(0.1^(B45/'Raw Values'!$AE45))</f>
        <v>3.6588524104589608E-8</v>
      </c>
      <c r="H45" s="79">
        <f>('Raw Values'!$AM45+G45)*(0.1^($B45/'Raw Values'!$AE45))</f>
        <v>3.6588524162997989E-8</v>
      </c>
      <c r="I45" s="79">
        <f>('Raw Values'!$AM45+H45)*(0.1^($B45/'Raw Values'!$AE45))</f>
        <v>3.6588524162997989E-8</v>
      </c>
      <c r="J45" s="79">
        <f>('Raw Values'!$AM45+I45)*(0.1^($B45/'Raw Values'!$AE45))</f>
        <v>3.6588524162997989E-8</v>
      </c>
      <c r="K45" s="79">
        <f>('Raw Values'!$AM45+J45)*(0.1^($B45/'Raw Values'!$AE45))</f>
        <v>3.6588524162997989E-8</v>
      </c>
      <c r="L45" s="79">
        <f>('Raw Values'!$AM45+K45)*(0.1^($B45/'Raw Values'!$AE45))</f>
        <v>3.6588524162997989E-8</v>
      </c>
      <c r="M45" s="79">
        <f>('Raw Values'!$AM45+L45)*(0.1^($B45/'Raw Values'!$AE45))</f>
        <v>3.6588524162997989E-8</v>
      </c>
      <c r="N45" s="79">
        <f>('Raw Values'!$AM45+M45)*(0.1^($B45/'Raw Values'!$AE45))</f>
        <v>3.6588524162997989E-8</v>
      </c>
      <c r="O45" s="79">
        <f>('Raw Values'!$AM45+N45)*(0.1^($B45/'Raw Values'!$AE45))</f>
        <v>3.6588524162997989E-8</v>
      </c>
      <c r="P45" s="190"/>
      <c r="Q45" s="190"/>
      <c r="R45" s="190"/>
      <c r="S45" s="190"/>
      <c r="T45" s="19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Simple</vt:lpstr>
      <vt:lpstr>Raw Values</vt:lpstr>
      <vt:lpstr>Analysis</vt:lpstr>
      <vt:lpstr>Firing Inaccuracy(Standing) Raw</vt:lpstr>
      <vt:lpstr>Firing Inaccuracy(Standing)</vt:lpstr>
      <vt:lpstr>Firing Inaccuracy(Crouching) Ra</vt:lpstr>
      <vt:lpstr>Firing Inaccuracy(Crouching)</vt:lpstr>
      <vt:lpstr>Firing Inaccuracy(Tapping)</vt:lpstr>
      <vt:lpstr>Firing Inaccuracy(Tapping) Raw</vt:lpstr>
      <vt:lpstr>Damage @Range</vt:lpstr>
      <vt:lpstr>Damage @Range(Armor)</vt:lpstr>
      <vt:lpstr>Time-to-Kill @Range(Armor)</vt:lpstr>
      <vt:lpstr>Reload &amp; Deploy Times</vt:lpstr>
      <vt:lpstr>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Lin, Yipeng</cp:lastModifiedBy>
  <dcterms:created xsi:type="dcterms:W3CDTF">2021-11-30T18:57:02Z</dcterms:created>
  <dcterms:modified xsi:type="dcterms:W3CDTF">2021-11-30T18:59:33Z</dcterms:modified>
</cp:coreProperties>
</file>