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b39980c3d69890/Documents/you-tube-channels/10x-in-10/_GitHub/videos/video-resources/002-set-the-right-goal/"/>
    </mc:Choice>
  </mc:AlternateContent>
  <xr:revisionPtr revIDLastSave="3601" documentId="8_{27FC253A-92C5-4E3B-8B09-07AB676796A6}" xr6:coauthVersionLast="47" xr6:coauthVersionMax="47" xr10:uidLastSave="{A72EF83F-BFB1-474E-A923-FF7391EA2665}"/>
  <bookViews>
    <workbookView xWindow="0" yWindow="0" windowWidth="25800" windowHeight="20175" tabRatio="828" xr2:uid="{20227987-DC7E-4AF1-B77E-DA6B02A31CE5}"/>
  </bookViews>
  <sheets>
    <sheet name="nx.in.40" sheetId="14" r:id="rId1"/>
    <sheet name="nx.in.40.summary" sheetId="18" r:id="rId2"/>
    <sheet name="nx.in.n" sheetId="1" r:id="rId3"/>
    <sheet name="10x.over.time" sheetId="17" r:id="rId4"/>
    <sheet name="Top5" sheetId="19" r:id="rId5"/>
    <sheet name="nx.in.x.alternatives" sheetId="5" r:id="rId6"/>
    <sheet name="BRK.Annual" sheetId="21" r:id="rId7"/>
    <sheet name="Model" sheetId="6" state="hidden" r:id="rId8"/>
    <sheet name="pop-10x-meta" sheetId="10" state="hidden" r:id="rId9"/>
    <sheet name="pop-drawdown-summary" sheetId="11" state="hidden" r:id="rId10"/>
    <sheet name="pop-drawdown-worst" sheetId="12" state="hidden" r:id="rId11"/>
    <sheet name="pop-drawdown-longest" sheetId="13" state="hidden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8" l="1"/>
  <c r="G7" i="18"/>
  <c r="F7" i="18"/>
  <c r="E7" i="18"/>
  <c r="D7" i="18"/>
  <c r="G8" i="18" a="1"/>
  <c r="G8" i="18"/>
  <c r="F8" i="18" a="1"/>
  <c r="F8" i="18"/>
  <c r="E8" i="18" a="1"/>
  <c r="E8" i="18"/>
  <c r="D8" i="18" a="1"/>
  <c r="D8" i="18"/>
  <c r="G7" i="14"/>
  <c r="F7" i="14"/>
  <c r="E7" i="14"/>
  <c r="D7" i="14"/>
  <c r="G10" i="19"/>
  <c r="F3" i="1"/>
  <c r="F67" i="21"/>
  <c r="F68" i="21"/>
  <c r="F69" i="21"/>
  <c r="E68" i="21"/>
  <c r="E69" i="21"/>
  <c r="E67" i="21"/>
  <c r="E65" i="21"/>
  <c r="D67" i="21"/>
  <c r="O4" i="21"/>
  <c r="O3" i="21"/>
  <c r="O6" i="21"/>
  <c r="P4" i="21"/>
  <c r="P3" i="21"/>
  <c r="P9" i="21"/>
  <c r="Q4" i="21"/>
  <c r="Q3" i="21"/>
  <c r="Q5" i="21"/>
  <c r="N4" i="21"/>
  <c r="S4" i="21"/>
  <c r="L3" i="21"/>
  <c r="L18" i="21"/>
  <c r="K3" i="21"/>
  <c r="K13" i="21"/>
  <c r="I3" i="21"/>
  <c r="I6" i="21"/>
  <c r="J3" i="21"/>
  <c r="J8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G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G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G53" i="21"/>
  <c r="E54" i="21"/>
  <c r="E55" i="21"/>
  <c r="E56" i="21"/>
  <c r="E57" i="21"/>
  <c r="E58" i="21"/>
  <c r="E59" i="21"/>
  <c r="E60" i="21"/>
  <c r="E5" i="21"/>
  <c r="H17" i="19"/>
  <c r="H26" i="19"/>
  <c r="H14" i="19"/>
  <c r="H25" i="19"/>
  <c r="H24" i="19"/>
  <c r="H13" i="19"/>
  <c r="H12" i="19"/>
  <c r="H11" i="19"/>
  <c r="H10" i="19"/>
  <c r="G16" i="19"/>
  <c r="G28" i="19"/>
  <c r="G27" i="19"/>
  <c r="G26" i="19"/>
  <c r="G25" i="19"/>
  <c r="G24" i="19"/>
  <c r="G12" i="19"/>
  <c r="G13" i="19"/>
  <c r="G14" i="19"/>
  <c r="G11" i="19"/>
  <c r="C7" i="5" a="1"/>
  <c r="C8" i="18" a="1"/>
  <c r="C8" i="18"/>
  <c r="C8" i="14" a="1"/>
  <c r="C8" i="14"/>
  <c r="D6" i="14"/>
  <c r="G6" i="14"/>
  <c r="F6" i="14"/>
  <c r="G6" i="18"/>
  <c r="F6" i="18"/>
  <c r="E5" i="18"/>
  <c r="C21" i="18" a="1"/>
  <c r="C21" i="18"/>
  <c r="F5" i="18"/>
  <c r="G5" i="18"/>
  <c r="E4" i="17"/>
  <c r="C8" i="17" a="1"/>
  <c r="C8" i="17"/>
  <c r="D8" i="17" a="1"/>
  <c r="D8" i="17"/>
  <c r="K38" i="6"/>
  <c r="K37" i="6"/>
  <c r="G33" i="6"/>
  <c r="I33" i="6"/>
  <c r="I35" i="6"/>
  <c r="I37" i="6"/>
  <c r="K39" i="6"/>
  <c r="G3" i="6"/>
  <c r="G5" i="6"/>
  <c r="C2" i="1"/>
  <c r="C7" i="1" a="1"/>
  <c r="C7" i="1"/>
  <c r="E7" i="1" a="1"/>
  <c r="E7" i="1"/>
  <c r="G35" i="6"/>
  <c r="E6" i="14"/>
  <c r="D81" i="5"/>
  <c r="D29" i="5"/>
  <c r="D90" i="5"/>
  <c r="D100" i="5"/>
  <c r="D84" i="5"/>
  <c r="D68" i="5"/>
  <c r="D52" i="5"/>
  <c r="D36" i="5"/>
  <c r="D99" i="5"/>
  <c r="D83" i="5"/>
  <c r="D67" i="5"/>
  <c r="D51" i="5"/>
  <c r="D35" i="5"/>
  <c r="D98" i="5"/>
  <c r="D82" i="5"/>
  <c r="D66" i="5"/>
  <c r="D50" i="5"/>
  <c r="D34" i="5"/>
  <c r="D97" i="5"/>
  <c r="D65" i="5"/>
  <c r="D33" i="5"/>
  <c r="D96" i="5"/>
  <c r="D80" i="5"/>
  <c r="D64" i="5"/>
  <c r="D48" i="5"/>
  <c r="D32" i="5"/>
  <c r="D94" i="5"/>
  <c r="D78" i="5"/>
  <c r="D62" i="5"/>
  <c r="D46" i="5"/>
  <c r="D30" i="5"/>
  <c r="D74" i="5"/>
  <c r="D42" i="5"/>
  <c r="D92" i="5"/>
  <c r="D76" i="5"/>
  <c r="D60" i="5"/>
  <c r="D44" i="5"/>
  <c r="D28" i="5"/>
  <c r="D91" i="5"/>
  <c r="D75" i="5"/>
  <c r="D59" i="5"/>
  <c r="D43" i="5"/>
  <c r="D27" i="5"/>
  <c r="D61" i="5"/>
  <c r="D77" i="5"/>
  <c r="D93" i="5"/>
  <c r="D49" i="5"/>
  <c r="D38" i="5"/>
  <c r="D54" i="5"/>
  <c r="D70" i="5"/>
  <c r="D86" i="5"/>
  <c r="D102" i="5"/>
  <c r="D39" i="5"/>
  <c r="D55" i="5"/>
  <c r="D71" i="5"/>
  <c r="D87" i="5"/>
  <c r="D40" i="5"/>
  <c r="D56" i="5"/>
  <c r="D72" i="5"/>
  <c r="D88" i="5"/>
  <c r="D26" i="5"/>
  <c r="D58" i="5"/>
  <c r="D45" i="5"/>
  <c r="D31" i="5"/>
  <c r="D47" i="5"/>
  <c r="D63" i="5"/>
  <c r="D79" i="5"/>
  <c r="D95" i="5"/>
  <c r="D37" i="5"/>
  <c r="D53" i="5"/>
  <c r="D69" i="5"/>
  <c r="D85" i="5"/>
  <c r="D101" i="5"/>
  <c r="D25" i="5"/>
  <c r="D41" i="5"/>
  <c r="D57" i="5"/>
  <c r="D73" i="5"/>
  <c r="D89" i="5"/>
  <c r="D22" i="5"/>
  <c r="D21" i="5"/>
  <c r="D20" i="5"/>
  <c r="D18" i="5"/>
  <c r="D17" i="5"/>
  <c r="D16" i="5"/>
  <c r="D15" i="5"/>
  <c r="D14" i="5"/>
  <c r="D13" i="5"/>
  <c r="D12" i="5"/>
  <c r="D11" i="5"/>
  <c r="D10" i="5"/>
  <c r="D19" i="5"/>
  <c r="D9" i="5"/>
  <c r="D23" i="5"/>
  <c r="D8" i="5"/>
  <c r="D24" i="5"/>
  <c r="C7" i="5"/>
  <c r="D7" i="5"/>
  <c r="G7" i="6"/>
  <c r="G11" i="6"/>
  <c r="G20" i="6"/>
  <c r="G22" i="6"/>
  <c r="G27" i="6"/>
  <c r="E8" i="14" a="1"/>
  <c r="E8" i="14"/>
  <c r="E4" i="14"/>
  <c r="D8" i="14" a="1"/>
  <c r="D8" i="14"/>
  <c r="D4" i="14"/>
  <c r="F8" i="14" a="1"/>
  <c r="F8" i="14"/>
  <c r="F4" i="14"/>
  <c r="G8" i="14" a="1"/>
  <c r="G8" i="14"/>
  <c r="G4" i="14"/>
  <c r="E21" i="18" a="1"/>
  <c r="E21" i="18"/>
  <c r="E4" i="18"/>
  <c r="D6" i="18"/>
  <c r="E6" i="18"/>
  <c r="G10" i="21"/>
  <c r="I42" i="21"/>
  <c r="I43" i="21"/>
  <c r="G56" i="21"/>
  <c r="J60" i="21"/>
  <c r="G50" i="21"/>
  <c r="K50" i="21"/>
  <c r="K25" i="21"/>
  <c r="T4" i="21"/>
  <c r="T3" i="21"/>
  <c r="T50" i="21"/>
  <c r="I54" i="21"/>
  <c r="I21" i="21"/>
  <c r="I53" i="21"/>
  <c r="G34" i="21"/>
  <c r="K39" i="21"/>
  <c r="G46" i="21"/>
  <c r="G30" i="21"/>
  <c r="G14" i="21"/>
  <c r="G60" i="21"/>
  <c r="U4" i="21"/>
  <c r="U3" i="21"/>
  <c r="U36" i="21"/>
  <c r="I57" i="21"/>
  <c r="I9" i="21"/>
  <c r="I10" i="21"/>
  <c r="I59" i="21"/>
  <c r="J44" i="21"/>
  <c r="E88" i="21"/>
  <c r="F79" i="21"/>
  <c r="E87" i="21"/>
  <c r="K7" i="21"/>
  <c r="J50" i="21"/>
  <c r="T41" i="21"/>
  <c r="J45" i="21"/>
  <c r="G28" i="21"/>
  <c r="F75" i="21"/>
  <c r="I17" i="21"/>
  <c r="I35" i="21"/>
  <c r="T56" i="21"/>
  <c r="I58" i="21"/>
  <c r="U51" i="21"/>
  <c r="U15" i="21"/>
  <c r="T35" i="21"/>
  <c r="F76" i="21"/>
  <c r="F72" i="21"/>
  <c r="I51" i="21"/>
  <c r="F80" i="21"/>
  <c r="I37" i="21"/>
  <c r="I19" i="21"/>
  <c r="I41" i="21"/>
  <c r="V4" i="21"/>
  <c r="V3" i="21"/>
  <c r="L22" i="21"/>
  <c r="K51" i="21"/>
  <c r="L40" i="21"/>
  <c r="G44" i="21"/>
  <c r="P8" i="21"/>
  <c r="G58" i="21"/>
  <c r="G26" i="21"/>
  <c r="I38" i="21"/>
  <c r="L16" i="21"/>
  <c r="E72" i="21"/>
  <c r="J13" i="21"/>
  <c r="E76" i="21"/>
  <c r="G40" i="21"/>
  <c r="G24" i="21"/>
  <c r="G8" i="21"/>
  <c r="L12" i="21"/>
  <c r="E75" i="21"/>
  <c r="L38" i="21"/>
  <c r="P12" i="21"/>
  <c r="I33" i="21"/>
  <c r="G12" i="21"/>
  <c r="K19" i="21"/>
  <c r="J28" i="21"/>
  <c r="G42" i="21"/>
  <c r="I26" i="21"/>
  <c r="J12" i="21"/>
  <c r="E74" i="21"/>
  <c r="I7" i="21"/>
  <c r="I25" i="21"/>
  <c r="K11" i="21"/>
  <c r="E73" i="21"/>
  <c r="J29" i="21"/>
  <c r="I22" i="21"/>
  <c r="L7" i="21"/>
  <c r="K59" i="21"/>
  <c r="L32" i="21"/>
  <c r="L6" i="21"/>
  <c r="F74" i="21"/>
  <c r="F73" i="21"/>
  <c r="E79" i="21"/>
  <c r="E80" i="21"/>
  <c r="P5" i="21"/>
  <c r="L56" i="21"/>
  <c r="O5" i="21"/>
  <c r="G16" i="21"/>
  <c r="L23" i="21"/>
  <c r="J34" i="21"/>
  <c r="L28" i="21"/>
  <c r="K23" i="21"/>
  <c r="J18" i="21"/>
  <c r="I52" i="21"/>
  <c r="I36" i="21"/>
  <c r="I20" i="21"/>
  <c r="K60" i="21"/>
  <c r="J55" i="21"/>
  <c r="L49" i="21"/>
  <c r="K44" i="21"/>
  <c r="J39" i="21"/>
  <c r="L33" i="21"/>
  <c r="K28" i="21"/>
  <c r="J23" i="21"/>
  <c r="L17" i="21"/>
  <c r="K12" i="21"/>
  <c r="J7" i="21"/>
  <c r="Q16" i="21"/>
  <c r="Q12" i="21"/>
  <c r="Q8" i="21"/>
  <c r="K55" i="21"/>
  <c r="L54" i="21"/>
  <c r="K17" i="21"/>
  <c r="I50" i="21"/>
  <c r="I34" i="21"/>
  <c r="I18" i="21"/>
  <c r="L59" i="21"/>
  <c r="K54" i="21"/>
  <c r="J49" i="21"/>
  <c r="L43" i="21"/>
  <c r="K38" i="21"/>
  <c r="J33" i="21"/>
  <c r="L27" i="21"/>
  <c r="K22" i="21"/>
  <c r="J17" i="21"/>
  <c r="L11" i="21"/>
  <c r="K6" i="21"/>
  <c r="O8" i="21"/>
  <c r="I49" i="21"/>
  <c r="L48" i="21"/>
  <c r="J22" i="21"/>
  <c r="J6" i="21"/>
  <c r="L60" i="21"/>
  <c r="K27" i="21"/>
  <c r="G48" i="21"/>
  <c r="I48" i="21"/>
  <c r="I32" i="21"/>
  <c r="I16" i="21"/>
  <c r="J59" i="21"/>
  <c r="L53" i="21"/>
  <c r="K48" i="21"/>
  <c r="J43" i="21"/>
  <c r="L37" i="21"/>
  <c r="K32" i="21"/>
  <c r="J27" i="21"/>
  <c r="L21" i="21"/>
  <c r="K16" i="21"/>
  <c r="J11" i="21"/>
  <c r="L5" i="21"/>
  <c r="Q15" i="21"/>
  <c r="Q11" i="21"/>
  <c r="Q7" i="21"/>
  <c r="L55" i="21"/>
  <c r="K33" i="21"/>
  <c r="I47" i="21"/>
  <c r="I31" i="21"/>
  <c r="I15" i="21"/>
  <c r="L58" i="21"/>
  <c r="K53" i="21"/>
  <c r="J48" i="21"/>
  <c r="L42" i="21"/>
  <c r="K37" i="21"/>
  <c r="J32" i="21"/>
  <c r="L26" i="21"/>
  <c r="K21" i="21"/>
  <c r="J16" i="21"/>
  <c r="L10" i="21"/>
  <c r="K5" i="21"/>
  <c r="P11" i="21"/>
  <c r="P7" i="21"/>
  <c r="L39" i="21"/>
  <c r="L44" i="21"/>
  <c r="J38" i="21"/>
  <c r="I46" i="21"/>
  <c r="I30" i="21"/>
  <c r="I14" i="21"/>
  <c r="K58" i="21"/>
  <c r="J53" i="21"/>
  <c r="L47" i="21"/>
  <c r="K42" i="21"/>
  <c r="J37" i="21"/>
  <c r="L31" i="21"/>
  <c r="K26" i="21"/>
  <c r="J21" i="21"/>
  <c r="L15" i="21"/>
  <c r="K10" i="21"/>
  <c r="J5" i="21"/>
  <c r="O7" i="21"/>
  <c r="K43" i="21"/>
  <c r="I5" i="21"/>
  <c r="I45" i="21"/>
  <c r="I29" i="21"/>
  <c r="I13" i="21"/>
  <c r="J58" i="21"/>
  <c r="L52" i="21"/>
  <c r="K47" i="21"/>
  <c r="J42" i="21"/>
  <c r="L36" i="21"/>
  <c r="K31" i="21"/>
  <c r="J26" i="21"/>
  <c r="L20" i="21"/>
  <c r="K15" i="21"/>
  <c r="J10" i="21"/>
  <c r="N3" i="21"/>
  <c r="S3" i="21"/>
  <c r="K18" i="21"/>
  <c r="J54" i="21"/>
  <c r="G38" i="21"/>
  <c r="G22" i="21"/>
  <c r="I60" i="21"/>
  <c r="I44" i="21"/>
  <c r="I28" i="21"/>
  <c r="I12" i="21"/>
  <c r="L57" i="21"/>
  <c r="K52" i="21"/>
  <c r="J47" i="21"/>
  <c r="L41" i="21"/>
  <c r="K36" i="21"/>
  <c r="J31" i="21"/>
  <c r="L25" i="21"/>
  <c r="K20" i="21"/>
  <c r="J15" i="21"/>
  <c r="L9" i="21"/>
  <c r="Q18" i="21"/>
  <c r="Q14" i="21"/>
  <c r="Q10" i="21"/>
  <c r="Q6" i="21"/>
  <c r="K49" i="21"/>
  <c r="G32" i="21"/>
  <c r="I27" i="21"/>
  <c r="I11" i="21"/>
  <c r="K57" i="21"/>
  <c r="J52" i="21"/>
  <c r="L46" i="21"/>
  <c r="K41" i="21"/>
  <c r="J36" i="21"/>
  <c r="L30" i="21"/>
  <c r="J20" i="21"/>
  <c r="L14" i="21"/>
  <c r="K9" i="21"/>
  <c r="P10" i="21"/>
  <c r="P6" i="21"/>
  <c r="K34" i="21"/>
  <c r="J57" i="21"/>
  <c r="L51" i="21"/>
  <c r="K46" i="21"/>
  <c r="J41" i="21"/>
  <c r="L35" i="21"/>
  <c r="K30" i="21"/>
  <c r="J25" i="21"/>
  <c r="L19" i="21"/>
  <c r="K14" i="21"/>
  <c r="J9" i="21"/>
  <c r="J46" i="21"/>
  <c r="K35" i="21"/>
  <c r="J30" i="21"/>
  <c r="L24" i="21"/>
  <c r="J14" i="21"/>
  <c r="L8" i="21"/>
  <c r="I56" i="21"/>
  <c r="I40" i="21"/>
  <c r="I24" i="21"/>
  <c r="I8" i="21"/>
  <c r="K56" i="21"/>
  <c r="J51" i="21"/>
  <c r="L45" i="21"/>
  <c r="K40" i="21"/>
  <c r="J35" i="21"/>
  <c r="L29" i="21"/>
  <c r="K24" i="21"/>
  <c r="J19" i="21"/>
  <c r="L13" i="21"/>
  <c r="K8" i="21"/>
  <c r="Q17" i="21"/>
  <c r="Q13" i="21"/>
  <c r="Q9" i="21"/>
  <c r="I55" i="21"/>
  <c r="I39" i="21"/>
  <c r="I23" i="21"/>
  <c r="J56" i="21"/>
  <c r="L50" i="21"/>
  <c r="K45" i="21"/>
  <c r="J40" i="21"/>
  <c r="L34" i="21"/>
  <c r="K29" i="21"/>
  <c r="J24" i="21"/>
  <c r="P13" i="21"/>
  <c r="F63" i="21"/>
  <c r="G52" i="21"/>
  <c r="G36" i="21"/>
  <c r="G20" i="21"/>
  <c r="G19" i="21"/>
  <c r="G18" i="21"/>
  <c r="G49" i="21"/>
  <c r="G33" i="21"/>
  <c r="G17" i="21"/>
  <c r="G6" i="21"/>
  <c r="G51" i="21"/>
  <c r="G35" i="21"/>
  <c r="G47" i="21"/>
  <c r="G31" i="21"/>
  <c r="G15" i="21"/>
  <c r="G54" i="21"/>
  <c r="G5" i="21"/>
  <c r="G45" i="21"/>
  <c r="G29" i="21"/>
  <c r="G13" i="21"/>
  <c r="G59" i="21"/>
  <c r="G43" i="21"/>
  <c r="G27" i="21"/>
  <c r="G11" i="21"/>
  <c r="G57" i="21"/>
  <c r="G41" i="21"/>
  <c r="G25" i="21"/>
  <c r="G9" i="21"/>
  <c r="G55" i="21"/>
  <c r="G39" i="21"/>
  <c r="G23" i="21"/>
  <c r="G7" i="21"/>
  <c r="F62" i="21"/>
  <c r="E62" i="21"/>
  <c r="E63" i="21"/>
  <c r="F7" i="5" a="1"/>
  <c r="F7" i="5"/>
  <c r="H7" i="5" a="1"/>
  <c r="H7" i="5"/>
  <c r="F21" i="18" a="1"/>
  <c r="F21" i="18"/>
  <c r="F4" i="18"/>
  <c r="G21" i="18" a="1"/>
  <c r="G21" i="18"/>
  <c r="G4" i="18"/>
  <c r="D21" i="18" a="1"/>
  <c r="D21" i="18"/>
  <c r="D4" i="18"/>
  <c r="K68" i="21"/>
  <c r="K67" i="21"/>
  <c r="J68" i="21"/>
  <c r="J67" i="21"/>
  <c r="L68" i="21"/>
  <c r="L67" i="21"/>
  <c r="I68" i="21"/>
  <c r="I67" i="21"/>
  <c r="J69" i="21"/>
  <c r="K69" i="21"/>
  <c r="L69" i="21"/>
  <c r="I69" i="21"/>
  <c r="U47" i="21"/>
  <c r="T5" i="21"/>
  <c r="T24" i="21"/>
  <c r="T17" i="21"/>
  <c r="T52" i="21"/>
  <c r="T60" i="21"/>
  <c r="U24" i="21"/>
  <c r="U32" i="21"/>
  <c r="T59" i="21"/>
  <c r="U11" i="21"/>
  <c r="U23" i="21"/>
  <c r="U27" i="21"/>
  <c r="T37" i="21"/>
  <c r="U39" i="21"/>
  <c r="U12" i="21"/>
  <c r="T45" i="21"/>
  <c r="U43" i="21"/>
  <c r="U20" i="21"/>
  <c r="T22" i="21"/>
  <c r="U55" i="21"/>
  <c r="U48" i="21"/>
  <c r="T21" i="21"/>
  <c r="T7" i="21"/>
  <c r="T25" i="21"/>
  <c r="T15" i="21"/>
  <c r="T29" i="21"/>
  <c r="T13" i="21"/>
  <c r="T39" i="21"/>
  <c r="T28" i="21"/>
  <c r="F83" i="21"/>
  <c r="U40" i="21"/>
  <c r="T30" i="21"/>
  <c r="U14" i="21"/>
  <c r="F84" i="21"/>
  <c r="U56" i="21"/>
  <c r="U22" i="21"/>
  <c r="U38" i="21"/>
  <c r="U42" i="21"/>
  <c r="U46" i="21"/>
  <c r="U50" i="21"/>
  <c r="T43" i="21"/>
  <c r="T57" i="21"/>
  <c r="U44" i="21"/>
  <c r="U5" i="21"/>
  <c r="U7" i="21"/>
  <c r="U17" i="21"/>
  <c r="U52" i="21"/>
  <c r="T26" i="21"/>
  <c r="T54" i="21"/>
  <c r="U19" i="21"/>
  <c r="T32" i="21"/>
  <c r="U6" i="21"/>
  <c r="U45" i="21"/>
  <c r="U60" i="21"/>
  <c r="U33" i="21"/>
  <c r="Q24" i="21"/>
  <c r="T58" i="21"/>
  <c r="O19" i="21"/>
  <c r="T33" i="21"/>
  <c r="U10" i="21"/>
  <c r="U59" i="21"/>
  <c r="U16" i="21"/>
  <c r="U18" i="21"/>
  <c r="K91" i="21"/>
  <c r="T9" i="21"/>
  <c r="O24" i="21"/>
  <c r="T12" i="21"/>
  <c r="T27" i="21"/>
  <c r="U31" i="21"/>
  <c r="T16" i="21"/>
  <c r="U29" i="21"/>
  <c r="T14" i="21"/>
  <c r="U26" i="21"/>
  <c r="O49" i="21"/>
  <c r="T23" i="21"/>
  <c r="T10" i="21"/>
  <c r="T31" i="21"/>
  <c r="U35" i="21"/>
  <c r="T20" i="21"/>
  <c r="U8" i="21"/>
  <c r="T18" i="21"/>
  <c r="U30" i="21"/>
  <c r="O34" i="21"/>
  <c r="O13" i="21"/>
  <c r="T53" i="21"/>
  <c r="T34" i="21"/>
  <c r="P43" i="21"/>
  <c r="T47" i="21"/>
  <c r="T36" i="21"/>
  <c r="T51" i="21"/>
  <c r="T40" i="21"/>
  <c r="U28" i="21"/>
  <c r="T38" i="21"/>
  <c r="U58" i="21"/>
  <c r="T55" i="21"/>
  <c r="T44" i="21"/>
  <c r="T42" i="21"/>
  <c r="O60" i="21"/>
  <c r="O21" i="21"/>
  <c r="T11" i="21"/>
  <c r="T48" i="21"/>
  <c r="T46" i="21"/>
  <c r="O33" i="21"/>
  <c r="T19" i="21"/>
  <c r="T8" i="21"/>
  <c r="T49" i="21"/>
  <c r="T6" i="21"/>
  <c r="U34" i="21"/>
  <c r="U9" i="21"/>
  <c r="U13" i="21"/>
  <c r="U49" i="21"/>
  <c r="U53" i="21"/>
  <c r="U54" i="21"/>
  <c r="U57" i="21"/>
  <c r="U21" i="21"/>
  <c r="U25" i="21"/>
  <c r="U41" i="21"/>
  <c r="U37" i="21"/>
  <c r="O44" i="21"/>
  <c r="Q20" i="21"/>
  <c r="O54" i="21"/>
  <c r="Q38" i="21"/>
  <c r="S6" i="21"/>
  <c r="S10" i="21"/>
  <c r="S14" i="21"/>
  <c r="S18" i="21"/>
  <c r="S22" i="21"/>
  <c r="S26" i="21"/>
  <c r="S30" i="21"/>
  <c r="S34" i="21"/>
  <c r="S38" i="21"/>
  <c r="S42" i="21"/>
  <c r="S46" i="21"/>
  <c r="S50" i="21"/>
  <c r="S54" i="21"/>
  <c r="S58" i="21"/>
  <c r="S7" i="21"/>
  <c r="S11" i="21"/>
  <c r="S15" i="21"/>
  <c r="S19" i="21"/>
  <c r="S23" i="21"/>
  <c r="S27" i="21"/>
  <c r="S31" i="21"/>
  <c r="S35" i="21"/>
  <c r="S39" i="21"/>
  <c r="S43" i="21"/>
  <c r="S47" i="21"/>
  <c r="S51" i="21"/>
  <c r="S55" i="21"/>
  <c r="S59" i="21"/>
  <c r="S8" i="21"/>
  <c r="S12" i="21"/>
  <c r="S16" i="21"/>
  <c r="S20" i="21"/>
  <c r="S24" i="21"/>
  <c r="S28" i="21"/>
  <c r="S32" i="21"/>
  <c r="S36" i="21"/>
  <c r="S40" i="21"/>
  <c r="S44" i="21"/>
  <c r="S48" i="21"/>
  <c r="S52" i="21"/>
  <c r="S56" i="21"/>
  <c r="S60" i="21"/>
  <c r="S9" i="21"/>
  <c r="S13" i="21"/>
  <c r="S17" i="21"/>
  <c r="S21" i="21"/>
  <c r="S25" i="21"/>
  <c r="S29" i="21"/>
  <c r="S33" i="21"/>
  <c r="S37" i="21"/>
  <c r="S41" i="21"/>
  <c r="S45" i="21"/>
  <c r="S49" i="21"/>
  <c r="S53" i="21"/>
  <c r="S57" i="21"/>
  <c r="S5" i="21"/>
  <c r="P58" i="21"/>
  <c r="V6" i="21"/>
  <c r="V10" i="21"/>
  <c r="V14" i="21"/>
  <c r="V18" i="21"/>
  <c r="V22" i="21"/>
  <c r="V26" i="21"/>
  <c r="V30" i="21"/>
  <c r="V34" i="21"/>
  <c r="V38" i="21"/>
  <c r="V42" i="21"/>
  <c r="V46" i="21"/>
  <c r="V50" i="21"/>
  <c r="V54" i="21"/>
  <c r="V58" i="21"/>
  <c r="V7" i="21"/>
  <c r="V11" i="21"/>
  <c r="V15" i="21"/>
  <c r="V19" i="21"/>
  <c r="V23" i="21"/>
  <c r="V27" i="21"/>
  <c r="V31" i="21"/>
  <c r="V35" i="21"/>
  <c r="V39" i="21"/>
  <c r="V43" i="21"/>
  <c r="V47" i="21"/>
  <c r="V51" i="21"/>
  <c r="V55" i="21"/>
  <c r="V59" i="21"/>
  <c r="V5" i="21"/>
  <c r="V8" i="21"/>
  <c r="V12" i="21"/>
  <c r="V16" i="21"/>
  <c r="V20" i="21"/>
  <c r="V24" i="21"/>
  <c r="V28" i="21"/>
  <c r="V32" i="21"/>
  <c r="V36" i="21"/>
  <c r="V40" i="21"/>
  <c r="V44" i="21"/>
  <c r="V48" i="21"/>
  <c r="V52" i="21"/>
  <c r="V56" i="21"/>
  <c r="V60" i="21"/>
  <c r="V9" i="21"/>
  <c r="V13" i="21"/>
  <c r="V17" i="21"/>
  <c r="V21" i="21"/>
  <c r="V25" i="21"/>
  <c r="V29" i="21"/>
  <c r="V33" i="21"/>
  <c r="V37" i="21"/>
  <c r="V41" i="21"/>
  <c r="V45" i="21"/>
  <c r="V49" i="21"/>
  <c r="V53" i="21"/>
  <c r="V57" i="21"/>
  <c r="O16" i="21"/>
  <c r="O30" i="21"/>
  <c r="K83" i="21"/>
  <c r="K85" i="21"/>
  <c r="K81" i="21"/>
  <c r="K82" i="21"/>
  <c r="K84" i="21"/>
  <c r="K80" i="21"/>
  <c r="K79" i="21"/>
  <c r="E83" i="21"/>
  <c r="E84" i="21"/>
  <c r="O22" i="21"/>
  <c r="P28" i="21"/>
  <c r="O23" i="21"/>
  <c r="Q56" i="21"/>
  <c r="Q34" i="21"/>
  <c r="P41" i="21"/>
  <c r="O20" i="21"/>
  <c r="P19" i="21"/>
  <c r="P23" i="21"/>
  <c r="O9" i="21"/>
  <c r="O36" i="21"/>
  <c r="O27" i="21"/>
  <c r="P27" i="21"/>
  <c r="O11" i="21"/>
  <c r="Q29" i="21"/>
  <c r="O42" i="21"/>
  <c r="P57" i="21"/>
  <c r="Q33" i="21"/>
  <c r="P25" i="21"/>
  <c r="Q45" i="21"/>
  <c r="O59" i="21"/>
  <c r="Q60" i="21"/>
  <c r="Q36" i="21"/>
  <c r="O52" i="21"/>
  <c r="Q22" i="21"/>
  <c r="Q52" i="21"/>
  <c r="Q27" i="21"/>
  <c r="Q28" i="21"/>
  <c r="O10" i="21"/>
  <c r="P20" i="21"/>
  <c r="Q46" i="21"/>
  <c r="Q40" i="21"/>
  <c r="O15" i="21"/>
  <c r="O17" i="21"/>
  <c r="O26" i="21"/>
  <c r="P54" i="21"/>
  <c r="P15" i="21"/>
  <c r="Q23" i="21"/>
  <c r="O12" i="21"/>
  <c r="P16" i="21"/>
  <c r="O57" i="21"/>
  <c r="Q26" i="21"/>
  <c r="P31" i="21"/>
  <c r="Q39" i="21"/>
  <c r="O28" i="21"/>
  <c r="Q32" i="21"/>
  <c r="P32" i="21"/>
  <c r="P24" i="21"/>
  <c r="P17" i="21"/>
  <c r="Q49" i="21"/>
  <c r="O46" i="21"/>
  <c r="Q30" i="21"/>
  <c r="O31" i="21"/>
  <c r="P35" i="21"/>
  <c r="Q43" i="21"/>
  <c r="O32" i="21"/>
  <c r="P48" i="21"/>
  <c r="P40" i="21"/>
  <c r="P21" i="21"/>
  <c r="Q53" i="21"/>
  <c r="O50" i="21"/>
  <c r="P14" i="21"/>
  <c r="O35" i="21"/>
  <c r="P39" i="21"/>
  <c r="Q47" i="21"/>
  <c r="Q57" i="21"/>
  <c r="P18" i="21"/>
  <c r="O39" i="21"/>
  <c r="Q51" i="21"/>
  <c r="O40" i="21"/>
  <c r="Q44" i="21"/>
  <c r="Q41" i="21"/>
  <c r="P44" i="21"/>
  <c r="P29" i="21"/>
  <c r="O58" i="21"/>
  <c r="P22" i="21"/>
  <c r="Q42" i="21"/>
  <c r="O43" i="21"/>
  <c r="P47" i="21"/>
  <c r="Q55" i="21"/>
  <c r="Q48" i="21"/>
  <c r="Q31" i="21"/>
  <c r="O38" i="21"/>
  <c r="O29" i="21"/>
  <c r="P60" i="21"/>
  <c r="P33" i="21"/>
  <c r="P26" i="21"/>
  <c r="O47" i="21"/>
  <c r="P51" i="21"/>
  <c r="Q59" i="21"/>
  <c r="O48" i="21"/>
  <c r="Q37" i="21"/>
  <c r="O45" i="21"/>
  <c r="P37" i="21"/>
  <c r="P30" i="21"/>
  <c r="Q50" i="21"/>
  <c r="O51" i="21"/>
  <c r="P55" i="21"/>
  <c r="Q35" i="21"/>
  <c r="P34" i="21"/>
  <c r="Q54" i="21"/>
  <c r="O25" i="21"/>
  <c r="O55" i="21"/>
  <c r="P59" i="21"/>
  <c r="O56" i="21"/>
  <c r="P56" i="21"/>
  <c r="P45" i="21"/>
  <c r="P38" i="21"/>
  <c r="Q58" i="21"/>
  <c r="O41" i="21"/>
  <c r="O37" i="21"/>
  <c r="P36" i="21"/>
  <c r="O53" i="21"/>
  <c r="P49" i="21"/>
  <c r="O14" i="21"/>
  <c r="P42" i="21"/>
  <c r="P52" i="21"/>
  <c r="P53" i="21"/>
  <c r="Q21" i="21"/>
  <c r="O18" i="21"/>
  <c r="P46" i="21"/>
  <c r="Q25" i="21"/>
  <c r="P50" i="21"/>
  <c r="N5" i="21"/>
  <c r="N6" i="21"/>
  <c r="N10" i="21"/>
  <c r="N14" i="21"/>
  <c r="N18" i="21"/>
  <c r="N22" i="21"/>
  <c r="N26" i="21"/>
  <c r="N30" i="21"/>
  <c r="N34" i="21"/>
  <c r="N38" i="21"/>
  <c r="N42" i="21"/>
  <c r="N46" i="21"/>
  <c r="N50" i="21"/>
  <c r="N54" i="21"/>
  <c r="N58" i="21"/>
  <c r="N7" i="21"/>
  <c r="N11" i="21"/>
  <c r="N15" i="21"/>
  <c r="N19" i="21"/>
  <c r="N23" i="21"/>
  <c r="N27" i="21"/>
  <c r="N31" i="21"/>
  <c r="N35" i="21"/>
  <c r="N39" i="21"/>
  <c r="N43" i="21"/>
  <c r="N47" i="21"/>
  <c r="N51" i="21"/>
  <c r="N55" i="21"/>
  <c r="N59" i="21"/>
  <c r="N8" i="21"/>
  <c r="N12" i="21"/>
  <c r="N16" i="21"/>
  <c r="N20" i="21"/>
  <c r="N24" i="21"/>
  <c r="N28" i="21"/>
  <c r="N32" i="21"/>
  <c r="N36" i="21"/>
  <c r="N40" i="21"/>
  <c r="N44" i="21"/>
  <c r="N48" i="21"/>
  <c r="N52" i="21"/>
  <c r="N56" i="21"/>
  <c r="N60" i="21"/>
  <c r="N9" i="21"/>
  <c r="N13" i="21"/>
  <c r="N17" i="21"/>
  <c r="N21" i="21"/>
  <c r="N25" i="21"/>
  <c r="N29" i="21"/>
  <c r="N33" i="21"/>
  <c r="N37" i="21"/>
  <c r="N41" i="21"/>
  <c r="N45" i="21"/>
  <c r="N49" i="21"/>
  <c r="N53" i="21"/>
  <c r="N57" i="21"/>
  <c r="Q19" i="21"/>
  <c r="U69" i="21"/>
  <c r="P68" i="21"/>
  <c r="O68" i="21"/>
  <c r="V68" i="21"/>
  <c r="V67" i="21"/>
  <c r="T68" i="21"/>
  <c r="T67" i="21"/>
  <c r="S69" i="21"/>
  <c r="U68" i="21"/>
  <c r="U67" i="21"/>
  <c r="Q67" i="21"/>
  <c r="T69" i="21"/>
  <c r="S68" i="21"/>
  <c r="S67" i="21"/>
  <c r="V69" i="21"/>
  <c r="Q69" i="21"/>
  <c r="N69" i="21"/>
  <c r="P69" i="21"/>
  <c r="Q68" i="21"/>
  <c r="N68" i="21"/>
  <c r="N67" i="21"/>
  <c r="P67" i="21"/>
  <c r="O69" i="21"/>
  <c r="O67" i="21"/>
  <c r="L81" i="21"/>
  <c r="L79" i="21"/>
  <c r="L85" i="21"/>
  <c r="L80" i="21"/>
  <c r="L82" i="21"/>
  <c r="L91" i="21"/>
  <c r="L84" i="21"/>
  <c r="L83" i="21"/>
  <c r="K89" i="21"/>
  <c r="K88" i="21"/>
  <c r="K87" i="21"/>
  <c r="L88" i="21"/>
  <c r="L87" i="21"/>
  <c r="L89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 Doepp</author>
  </authors>
  <commentList>
    <comment ref="J11" authorId="0" shapeId="0" xr:uid="{8C11D753-7E71-4CF8-A6CE-A09F9571F0A8}">
      <text>
        <r>
          <rPr>
            <b/>
            <sz val="9"/>
            <color indexed="81"/>
            <rFont val="Tahoma"/>
            <family val="2"/>
          </rPr>
          <t>Bill:</t>
        </r>
        <r>
          <rPr>
            <sz val="9"/>
            <color indexed="81"/>
            <rFont val="Tahoma"/>
            <family val="2"/>
          </rPr>
          <t xml:space="preserve">
2/16/1990</t>
        </r>
      </text>
    </comment>
    <comment ref="J14" authorId="0" shapeId="0" xr:uid="{D94FEBFF-3DA3-47DC-BCA8-7BB16AC4C3CD}">
      <text>
        <r>
          <rPr>
            <b/>
            <sz val="9"/>
            <color indexed="81"/>
            <rFont val="Tahoma"/>
            <family val="2"/>
          </rPr>
          <t>Bill:</t>
        </r>
        <r>
          <rPr>
            <sz val="9"/>
            <color indexed="81"/>
            <rFont val="Tahoma"/>
            <family val="2"/>
          </rPr>
          <t xml:space="preserve">
3/13/1986</t>
        </r>
      </text>
    </comment>
    <comment ref="H17" authorId="0" shapeId="0" xr:uid="{221AE4A5-5915-415D-808F-00317D14094B}">
      <text>
        <r>
          <rPr>
            <b/>
            <sz val="9"/>
            <color indexed="81"/>
            <rFont val="Tahoma"/>
            <family val="2"/>
          </rPr>
          <t>Bill:</t>
        </r>
        <r>
          <rPr>
            <sz val="9"/>
            <color indexed="81"/>
            <rFont val="Tahoma"/>
            <family val="2"/>
          </rPr>
          <t xml:space="preserve">
Based on S&amp;P 500 Index + estimated dividend yield for the 1980's &amp; 90's (https://www.suredividend.com/sp500-dividend-yield/)</t>
        </r>
      </text>
    </comment>
    <comment ref="J25" authorId="0" shapeId="0" xr:uid="{EF3C5220-A82A-4DED-84B3-D653B1B0E696}">
      <text>
        <r>
          <rPr>
            <b/>
            <sz val="9"/>
            <color indexed="81"/>
            <rFont val="Tahoma"/>
            <family val="2"/>
          </rPr>
          <t>Bill:</t>
        </r>
        <r>
          <rPr>
            <sz val="9"/>
            <color indexed="81"/>
            <rFont val="Tahoma"/>
            <family val="2"/>
          </rPr>
          <t xml:space="preserve">
3/13/1986</t>
        </r>
      </text>
    </comment>
    <comment ref="J26" authorId="0" shapeId="0" xr:uid="{34E248AA-208F-4649-A505-8E596EC9D324}">
      <text>
        <r>
          <rPr>
            <b/>
            <sz val="9"/>
            <color indexed="81"/>
            <rFont val="Tahoma"/>
            <family val="2"/>
          </rPr>
          <t>Bill:</t>
        </r>
        <r>
          <rPr>
            <sz val="9"/>
            <color indexed="81"/>
            <rFont val="Tahoma"/>
            <family val="2"/>
          </rPr>
          <t xml:space="preserve">
5/15/1997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<sst xmlns="http://schemas.openxmlformats.org/spreadsheetml/2006/main" count="306" uniqueCount="217">
  <si>
    <t>Starting value:</t>
  </si>
  <si>
    <t>Time</t>
  </si>
  <si>
    <t>Value</t>
  </si>
  <si>
    <t>Start:</t>
  </si>
  <si>
    <t>End:</t>
  </si>
  <si>
    <t>Step:</t>
  </si>
  <si>
    <t>ARKK</t>
  </si>
  <si>
    <t>Valuation model:</t>
  </si>
  <si>
    <t>Required return (k)</t>
  </si>
  <si>
    <t>Less: Expected growth rate (g)</t>
  </si>
  <si>
    <r>
      <t>Base earnings</t>
    </r>
    <r>
      <rPr>
        <vertAlign val="subscript"/>
        <sz val="14"/>
        <color theme="1"/>
        <rFont val="Arial Black"/>
        <family val="2"/>
      </rPr>
      <t>1</t>
    </r>
    <r>
      <rPr>
        <sz val="14"/>
        <color theme="1"/>
        <rFont val="Arial Black"/>
        <family val="2"/>
      </rPr>
      <t xml:space="preserve"> yield (y)</t>
    </r>
  </si>
  <si>
    <r>
      <t>Target P/E</t>
    </r>
    <r>
      <rPr>
        <vertAlign val="subscript"/>
        <sz val="14"/>
        <color theme="1"/>
        <rFont val="Arial Black"/>
        <family val="2"/>
      </rPr>
      <t>1</t>
    </r>
  </si>
  <si>
    <t>(1 / y)</t>
  </si>
  <si>
    <r>
      <t>Base earnings per share (EPS</t>
    </r>
    <r>
      <rPr>
        <vertAlign val="subscript"/>
        <sz val="14"/>
        <color theme="1"/>
        <rFont val="Arial Black"/>
        <family val="2"/>
      </rPr>
      <t>0</t>
    </r>
    <r>
      <rPr>
        <sz val="14"/>
        <color theme="1"/>
        <rFont val="Arial Black"/>
        <family val="2"/>
      </rPr>
      <t>)</t>
    </r>
  </si>
  <si>
    <t>Target value</t>
  </si>
  <si>
    <r>
      <t>EPS</t>
    </r>
    <r>
      <rPr>
        <vertAlign val="subscript"/>
        <sz val="10"/>
        <color theme="1"/>
        <rFont val="Arial Black"/>
        <family val="2"/>
      </rPr>
      <t>0</t>
    </r>
    <r>
      <rPr>
        <sz val="10"/>
        <color theme="1"/>
        <rFont val="Arial Black"/>
        <family val="2"/>
      </rPr>
      <t xml:space="preserve"> * (1 + g) / y</t>
    </r>
  </si>
  <si>
    <t>OR</t>
  </si>
  <si>
    <r>
      <t>EPS</t>
    </r>
    <r>
      <rPr>
        <vertAlign val="subscript"/>
        <sz val="10"/>
        <color theme="1"/>
        <rFont val="Arial Black"/>
        <family val="2"/>
      </rPr>
      <t>0</t>
    </r>
    <r>
      <rPr>
        <sz val="10"/>
        <color theme="1"/>
        <rFont val="Arial Black"/>
        <family val="2"/>
      </rPr>
      <t xml:space="preserve"> * (1 + g) / (k - g)</t>
    </r>
  </si>
  <si>
    <t>In English -- To achieve our required return, today's price needs to = next year's EPS / (our required return - growth rate)</t>
  </si>
  <si>
    <t>Working backwards:</t>
  </si>
  <si>
    <r>
      <t>Current price (P</t>
    </r>
    <r>
      <rPr>
        <vertAlign val="subscript"/>
        <sz val="14"/>
        <color theme="1"/>
        <rFont val="Arial Black"/>
        <family val="2"/>
      </rPr>
      <t>0</t>
    </r>
    <r>
      <rPr>
        <sz val="14"/>
        <color theme="1"/>
        <rFont val="Arial Black"/>
        <family val="2"/>
      </rPr>
      <t>)</t>
    </r>
  </si>
  <si>
    <t>Expected return</t>
  </si>
  <si>
    <t>(NOTE: This will always be &gt; growth rate)</t>
  </si>
  <si>
    <r>
      <t>EPS</t>
    </r>
    <r>
      <rPr>
        <vertAlign val="subscript"/>
        <sz val="10"/>
        <color theme="1"/>
        <rFont val="Arial Black"/>
        <family val="2"/>
      </rPr>
      <t>0</t>
    </r>
    <r>
      <rPr>
        <sz val="10"/>
        <color theme="1"/>
        <rFont val="Arial Black"/>
        <family val="2"/>
      </rPr>
      <t xml:space="preserve"> * (1 + g)/ P</t>
    </r>
    <r>
      <rPr>
        <vertAlign val="subscript"/>
        <sz val="10"/>
        <color theme="1"/>
        <rFont val="Arial Black"/>
        <family val="2"/>
      </rPr>
      <t>0</t>
    </r>
    <r>
      <rPr>
        <sz val="10"/>
        <color theme="1"/>
        <rFont val="Arial Black"/>
        <family val="2"/>
      </rPr>
      <t xml:space="preserve"> + g</t>
    </r>
  </si>
  <si>
    <t>In English -- Expected return at today's price = next year's EPS / today's price + growth rate</t>
  </si>
  <si>
    <t>k - g</t>
  </si>
  <si>
    <t>Earnings surprise example:</t>
  </si>
  <si>
    <t>Before</t>
  </si>
  <si>
    <t>After</t>
  </si>
  <si>
    <t>Expected EPS</t>
  </si>
  <si>
    <t>Definitions:</t>
  </si>
  <si>
    <r>
      <t>Next year's EPS = EPS</t>
    </r>
    <r>
      <rPr>
        <vertAlign val="subscript"/>
        <sz val="12"/>
        <color theme="1"/>
        <rFont val="Arial Black"/>
        <family val="2"/>
      </rPr>
      <t>0</t>
    </r>
    <r>
      <rPr>
        <sz val="12"/>
        <color theme="1"/>
        <rFont val="Arial Black"/>
        <family val="2"/>
      </rPr>
      <t xml:space="preserve"> * (1 + g)</t>
    </r>
  </si>
  <si>
    <t>High</t>
  </si>
  <si>
    <t>Low</t>
  </si>
  <si>
    <t>Name</t>
  </si>
  <si>
    <t>AAPL</t>
  </si>
  <si>
    <t>Apple Inc</t>
  </si>
  <si>
    <t>Information Technology</t>
  </si>
  <si>
    <t>ADBE</t>
  </si>
  <si>
    <t>Adobe Inc</t>
  </si>
  <si>
    <t>AMZN</t>
  </si>
  <si>
    <t>Amazon.com, Inc</t>
  </si>
  <si>
    <t>Consumer Discretionary</t>
  </si>
  <si>
    <t>CRM</t>
  </si>
  <si>
    <t>salesforce.com, inc</t>
  </si>
  <si>
    <t>DECK</t>
  </si>
  <si>
    <t>Deckers Outdoor Corporation</t>
  </si>
  <si>
    <t>HD</t>
  </si>
  <si>
    <t>The Home Depot, Inc</t>
  </si>
  <si>
    <t>MSFT</t>
  </si>
  <si>
    <t>Microsoft Corporation</t>
  </si>
  <si>
    <t>NFLX</t>
  </si>
  <si>
    <t>Netflix, Inc</t>
  </si>
  <si>
    <t>Communication Services</t>
  </si>
  <si>
    <t>NVDA</t>
  </si>
  <si>
    <t>NVIDIA Corporation</t>
  </si>
  <si>
    <t>TSLA</t>
  </si>
  <si>
    <t>Tesla, Inc</t>
  </si>
  <si>
    <t>symbol</t>
  </si>
  <si>
    <t>name</t>
  </si>
  <si>
    <t>sector</t>
  </si>
  <si>
    <t>day_to_get_in</t>
  </si>
  <si>
    <t>BRK-A</t>
  </si>
  <si>
    <t>Berkshire Hathaway Inc.</t>
  </si>
  <si>
    <t>ARK Innovation ETF</t>
  </si>
  <si>
    <t>worst_dd</t>
  </si>
  <si>
    <t>num_10pct_plus</t>
  </si>
  <si>
    <t>median_dd</t>
  </si>
  <si>
    <t>average_dd</t>
  </si>
  <si>
    <t>longest_yrs</t>
  </si>
  <si>
    <t>return</t>
  </si>
  <si>
    <t>from</t>
  </si>
  <si>
    <t>trough</t>
  </si>
  <si>
    <t>to</t>
  </si>
  <si>
    <t>length</t>
  </si>
  <si>
    <t>peaktotrough</t>
  </si>
  <si>
    <t>recovery</t>
  </si>
  <si>
    <t>done_in_10</t>
  </si>
  <si>
    <t>dd_in10x_tf</t>
  </si>
  <si>
    <t>length_yrs</t>
  </si>
  <si>
    <t>CAGR (Return):</t>
  </si>
  <si>
    <t>in 40 years</t>
  </si>
  <si>
    <t>CAGR</t>
  </si>
  <si>
    <t>40-Year Multiplier</t>
  </si>
  <si>
    <t>Objective</t>
  </si>
  <si>
    <t>Annual return:</t>
  </si>
  <si>
    <t>10x in 10 count:</t>
  </si>
  <si>
    <t>Relative to 10x in 10</t>
  </si>
  <si>
    <t>step =</t>
  </si>
  <si>
    <t>General Electric (GE)</t>
  </si>
  <si>
    <t>Source:</t>
  </si>
  <si>
    <t>List of public corporations by market capitalization - Wikipedia</t>
  </si>
  <si>
    <t>Rank</t>
  </si>
  <si>
    <t>Market Cap</t>
  </si>
  <si>
    <t>Stock Price**</t>
  </si>
  <si>
    <t>** Stock price adjusted for dividends and splits</t>
  </si>
  <si>
    <t>Cisco Systems (CSCO)</t>
  </si>
  <si>
    <t>Exxon Mobil (XOM)</t>
  </si>
  <si>
    <t>Microsoft (MSFT)</t>
  </si>
  <si>
    <t>3/31/2001^</t>
  </si>
  <si>
    <t>Apple (AAPL)</t>
  </si>
  <si>
    <t>Amazon (AMZN)</t>
  </si>
  <si>
    <t>Alphabet (GOOGL)</t>
  </si>
  <si>
    <t>Facebook (FB)</t>
  </si>
  <si>
    <t>TOP 5 -- 2001</t>
  </si>
  <si>
    <t>TOP 5 -- 2021</t>
  </si>
  <si>
    <t>S&amp;P 500 Total Return Index</t>
  </si>
  <si>
    <t>20-Year Annual Return</t>
  </si>
  <si>
    <t>Subsequent</t>
  </si>
  <si>
    <t>Prior^</t>
  </si>
  <si>
    <t>--</t>
  </si>
  <si>
    <t>^ or since IPO (GOOGL 8/19/2004; FB 5/18/2012; CSCO 2/16/1990; MSFT 3/13/1986; AMZN 5/15/1997)</t>
  </si>
  <si>
    <t>Subsequent^</t>
  </si>
  <si>
    <t>n/a</t>
  </si>
  <si>
    <t>(est)</t>
  </si>
  <si>
    <r>
      <rPr>
        <b/>
        <sz val="8"/>
        <color rgb="FF231F20"/>
        <rFont val="Times New Roman"/>
        <family val="1"/>
      </rPr>
      <t xml:space="preserve">Note: </t>
    </r>
    <r>
      <rPr>
        <sz val="8"/>
        <color rgb="FF231F20"/>
        <rFont val="Times New Roman"/>
        <family val="1"/>
      </rPr>
      <t>Data are for calendar years with these exceptions: 1965 and 1966, year ended 9/30; 1967, 15 months ended 12/31.</t>
    </r>
  </si>
  <si>
    <r>
      <rPr>
        <sz val="8.5"/>
        <color rgb="FF231F20"/>
        <rFont val="Times New Roman"/>
        <family val="1"/>
      </rPr>
      <t xml:space="preserve">Overall Gain – 1964-2020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</si>
  <si>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Compounded Annual Gain – 1965-2020  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</si>
  <si>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2020 . . . . . . . . . . . . . . . . . . . . . . . . . . . . . . . . . . . . . . . . . . . . . . . . . . . . . . . . . . . . . . . . . . . . . . . . .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</si>
  <si>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2019 . . . . . . . . . . . . . . . . . . . . . . . . . . . . . . . . . . . . . . . . . . . . . . . . . . . . . . . . . . . . . . . . . . . . . . . . .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</si>
  <si>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2018 . . . . . . . . . . . . . . . . . . . . . . . . . . . . . . . . . . . . . . . . . . . . . . . . . . . . . . . . . . . . . . . . . . . . . . . . .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</si>
  <si>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2017 . . . . . . . . . . . . . . . . . . . . . . . . . . . . . . . . . . . . . . . . . . . . . . . . . . . . . . . . . . . . . . . . . . . . . . . . .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</si>
  <si>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2016 . . . . . . . . . . . . . . . . . . . . . . . . . . . . . . . . . . . . . . . . . . . . . . . . . . . . . . . . . . . . . . . . . . . . . . . . .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</si>
  <si>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2015 . . . . . . . . . . . . . . . . . . . . . . . . . . . . . . . . . . . . . . . . . . . . . . . . . . . . . . . . . . . . . . . . . . . . . . . . .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</si>
  <si>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2014 . . . . . . . . . . . . . . . . . . . . . . . . . . . . . . . . . . . . . . . . . . . . . . . . . . . . . . . . . . . . . . . . . . . . . . . . .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</si>
  <si>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2013 . . . . . . . . . . . . . . . . . . . . . . . . . . . . . . . . . . . . . . . . . . . . . . . . . . . . . . . . . . . . . . . . . . . . . . . . .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</si>
  <si>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2012 . . . . . . . . . . . . . . . . . . . . . . . . . . . . . . . . . . . . . . . . . . . . . . . . . . . . . . . . . . . . . . . . . . . . . . . . .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</si>
  <si>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2011 . . . . . . . . . . . . . . . . . . . . . . . . . . . . . . . . . . . . . . . . . . . . . . . . . . . . . . . . . . . . . . . . . . . . . . . . .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</si>
  <si>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2010 . . . . . . . . . . . . . . . . . . . . . . . . . . . . . . . . . . . . . . . . . . . . . . . . . . . . . . . . . . . . . . . . . . . . . . . . .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</si>
  <si>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2009 . . . . . . . . . . . . . . . . . . . . . . . . . . . . . . . . . . . . . . . . . . . . . . . . . . . . . . . . . . . . . . . . . . . . . . . . .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</si>
  <si>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2008 . . . . . . . . . . . . . . . . . . . . . . . . . . . . . . . . . . . . . . . . . . . . . . . . . . . . . . . . . . . . . . . . . . . . . . . . .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</si>
  <si>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2007 . . . . . . . . . . . . . . . . . . . . . . . . . . . . . . . . . . . . . . . . . . . . . . . . . . . . . . . . . . . . . . . . . . . . . . . . .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</si>
  <si>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2006 . . . . . . . . . . . . . . . . . . . . . . . . . . . . . . . . . . . . . . . . . . . . . . . . . . . . . . . . . . . . . . . . . . . . . . . . .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</si>
  <si>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2005 . . . . . . . . . . . . . . . . . . . . . . . . . . . . . . . . . . . . . . . . . . . . . . . . . . . . . . . . . . . . . . . . . . . . . . . . .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</si>
  <si>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2004 . . . . . . . . . . . . . . . . . . . . . . . . . . . . . . . . . . . . . . . . . . . . . . . . . . . . . . . . . . . . . . . . . . . . . . . . .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</si>
  <si>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2003 . . . . . . . . . . . . . . . . . . . . . . . . . . . . . . . . . . . . . . . . . . . . . . . . . . . . . . . . . . . . . . . . . . . . . . . . .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</si>
  <si>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2002 . . . . . . . . . . . . . . . . . . . . . . . . . . . . . . . . . . . . . . . . . . . . . . . . . . . . . . . . . . . . . . . . . . . . . . . . .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</si>
  <si>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2001 . . . . . . . . . . . . . . . . . . . . . . . . . . . . . . . . . . . . . . . . . . . . . . . . . . . . . . . . . . . . . . . . . . . . . . . . .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</si>
  <si>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2000 . . . . . . . . . . . . . . . . . . . . . . . . . . . . . . . . . . . . . . . . . . . . . . . . . . . . . . . . . . . . . . . . . . . . . . . . .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</si>
  <si>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1999 . . . . . . . . . . . . . . . . . . . . . . . . . . . . . . . . . . . . . . . . . . . . . . . . . . . . . . . . . . . . . . . . . . . . . . . . .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</si>
  <si>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1998 . . . . . . . . . . . . . . . . . . . . . . . . . . . . . . . . . . . . . . . . . . . . . . . . . . . . . . . . . . . . . . . . . . . . . . . . .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</si>
  <si>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1997 . . . . . . . . . . . . . . . . . . . . . . . . . . . . . . . . . . . . . . . . . . . . . . . . . . . . . . . . . . . . . . . . . . . . . . . . .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</si>
  <si>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1996 . . . . . . . . . . . . . . . . . . . . . . . . . . . . . . . . . . . . . . . . . . . . . . . . . . . . . . . . . . . . . . . . . . . . . . . . .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</si>
  <si>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1995 . . . . . . . . . . . . . . . . . . . . . . . . . . . . . . . . . . . . . . . . . . . . . . . . . . . . . . . . . . . . . . . . . . . . . . . . .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</si>
  <si>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1994 . . . . . . . . . . . . . . . . . . . . . . . . . . . . . . . . . . . . . . . . . . . . . . . . . . . . . . . . . . . . . . . . . . . . . . . . .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</si>
  <si>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1993 . . . . . . . . . . . . . . . . . . . . . . . . . . . . . . . . . . . . . . . . . . . . . . . . . . . . . . . . . . . . . . . . . . . . . . . . .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</si>
  <si>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1992 . . . . . . . . . . . . . . . . . . . . . . . . . . . . . . . . . . . . . . . . . . . . . . . . . . . . . . . . . . . . . . . . . . . . . . . . .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</si>
  <si>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1991 . . . . . . . . . . . . . . . . . . . . . . . . . . . . . . . . . . . . . . . . . . . . . . . . . . . . . . . . . . . . . . . . . . . . . . . . .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</si>
  <si>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1990 . . . . . . . . . . . . . . . . . . . . . . . . . . . . . . . . . . . . . . . . . . . . . . . . . . . . . . . . . . . . . . . . . . . . . . . . .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</si>
  <si>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1989 . . . . . . . . . . . . . . . . . . . . . . . . . . . . . . . . . . . . . . . . . . . . . . . . . . . . . . . . . . . . . . . . . . . . . . . . .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</si>
  <si>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1988 . . . . . . . . . . . . . . . . . . . . . . . . . . . . . . . . . . . . . . . . . . . . . . . . . . . . . . . . . . . . . . . . . . . . . . . . .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</si>
  <si>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1987 . . . . . . . . . . . . . . . . . . . . . . . . . . . . . . . . . . . . . . . . . . . . . . . . . . . . . . . . . . . . . . . . . . . . . . . . .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</si>
  <si>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1986 . . . . . . . . . . . . . . . . . . . . . . . . . . . . . . . . . . . . . . . . . . . . . . . . . . . . . . . . . . . . . . . . . . . . . . . . .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</si>
  <si>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1985 . . . . . . . . . . . . . . . . . . . . . . . . . . . . . . . . . . . . . . . . . . . . . . . . . . . . . . . . . . . . . . . . . . . . . . . . .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</si>
  <si>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1984 . . . . . . . . . . . . . . . . . . . . . . . . . . . . . . . . . . . . . . . . . . . . . . . . . . . . . . . . . . . . . . . . . . . . . . . . .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</si>
  <si>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1983 . . . . . . . . . . . . . . . . . . . . . . . . . . . . . . . . . . . . . . . . . . . . . . . . . . . . . . . . . . . . . . . . . . . . . . . . .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</si>
  <si>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1982 . . . . . . . . . . . . . . . . . . . . . . . . . . . . . . . . . . . . . . . . . . . . . . . . . . . . . . . . . . . . . . . . . . . . . . . . .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</si>
  <si>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1981 . . . . . . . . . . . . . . . . . . . . . . . . . . . . . . . . . . . . . . . . . . . . . . . . . . . . . . . . . . . . . . . . . . . . . . . . .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</si>
  <si>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1980 . . . . . . . . . . . . . . . . . . . . . . . . . . . . . . . . . . . . . . . . . . . . . . . . . . . . . . . . . . . . . . . . . . . . . . . . .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</si>
  <si>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1979 . . . . . . . . . . . . . . . . . . . . . . . . . . . . . . . . . . . . . . . . . . . . . . . . . . . . . . . . . . . . . . . . . . . . . . . . .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</si>
  <si>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1978 . . . . . . . . . . . . . . . . . . . . . . . . . . . . . . . . . . . . . . . . . . . . . . . . . . . . . . . . . . . . . . . . . . . . . . . . .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</si>
  <si>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1977 . . . . . . . . . . . . . . . . . . . . . . . . . . . . . . . . . . . . . . . . . . . . . . . . . . . . . . . . . . . . . . . . . . . . . . . . .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</si>
  <si>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1976 . . . . . . . . . . . . . . . . . . . . . . . . . . . . . . . . . . . . . . . . . . . . . . . . . . . . . . . . . . . . . . . . . . . . . . . . .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</si>
  <si>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1975 . . . . . . . . . . . . . . . . . . . . . . . . . . . . . . . . . . . . . . . . . . . . . . . . . . . . . . . . . . . . . . . . . . . . . . . . .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</si>
  <si>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1974 . . . . . . . . . . . . . . . . . . . . . . . . . . . . . . . . . . . . . . . . . . . . . . . . . . . . . . . . . . . . . . . . . . . . . . . . .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</si>
  <si>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1973 . . . . . . . . . . . . . . . . . . . . . . . . . . . . . . . . . . . . . . . . . . . . . . . . . . . . . . . . . . . . . . . . . . . . . . . . .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</si>
  <si>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1972 . . . . . . . . . . . . . . . . . . . . . . . . . . . . . . . . . . . . . . . . . . . . . . . . . . . . . . . . . . . . . . . . . . . . . . . . .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</si>
  <si>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1971 . . . . . . . . . . . . . . . . . . . . . . . . . . . . . . . . . . . . . . . . . . . . . . . . . . . . . . . . . . . . . . . . . . . . . . . . .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</si>
  <si>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1970 . . . . . . . . . . . . . . . . . . . . . . . . . . . . . . . . . . . . . . . . . . . . . . . . . . . . . . . . . . . . . . . . . . . . . . . . .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</si>
  <si>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1969 . . . . . . . . . . . . . . . . . . . . . . . . . . . . . . . . . . . . . . . . . . . . . . . . . . . . . . . . . . . . . . . . . . . . . . . . .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</si>
  <si>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1968 . . . . . . . . . . . . . . . . . . . . . . . . . . . . . . . . . . . . . . . . . . . . . . . . . . . . . . . . . . . . . . . . . . . . . . . . .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</si>
  <si>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1967 . . . . . . . . . . . . . . . . . . . . . . . . . . . . . . . . . . . . . . . . . . . . . . . . . . . . . . . . . . . . . . . . . . . . . . . . .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</si>
  <si>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1966 . . . . . . . . . . . . . . . . . . . . . . . . . . . . . . . . . . . . . . . . . . . . . . . . . . . . . . . . . . . . . . . . . . . . . . . . .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</si>
  <si>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 xml:space="preserve">1965 . . . . . . . . . . . . . . . . . . . . . . . . . . . . . . . . . . . . . . . . . . . . . . . . . . . . . . . . . . . . . . . . . . . . . . . . . </t>
    </r>
  </si>
  <si>
    <r>
      <rPr>
        <sz val="8.5"/>
        <color rgb="FF231F20"/>
        <rFont val="Times New Roman"/>
        <family val="1"/>
      </rPr>
      <t>Year</t>
    </r>
  </si>
  <si>
    <r>
      <rPr>
        <sz val="8.5"/>
        <color rgb="FF231F20"/>
        <rFont val="Times New Roman"/>
        <family val="1"/>
      </rPr>
      <t>Annual Percentage Change</t>
    </r>
  </si>
  <si>
    <r>
      <rPr>
        <b/>
        <sz val="10"/>
        <color rgb="FF231F20"/>
        <rFont val="Times New Roman"/>
        <family val="1"/>
      </rPr>
      <t>Berkshire’s Performance vs. the S&amp;P 500</t>
    </r>
  </si>
  <si>
    <t>printmgr file (berkshirehathaway.com)</t>
  </si>
  <si>
    <t>Annual Log Change</t>
  </si>
  <si>
    <t>BRK</t>
  </si>
  <si>
    <t>SP500</t>
  </si>
  <si>
    <r>
      <rPr>
        <u val="singleAccounting"/>
        <sz val="8.5"/>
        <color rgb="FF231F20"/>
        <rFont val="Times New Roman"/>
        <family val="1"/>
      </rPr>
      <t>in Per-Share Market Value of Berkshire</t>
    </r>
  </si>
  <si>
    <r>
      <rPr>
        <u val="singleAccounting"/>
        <sz val="8.5"/>
        <color rgb="FF231F20"/>
        <rFont val="Times New Roman"/>
        <family val="1"/>
      </rPr>
      <t>in S&amp;P 500 with Dividends Included</t>
    </r>
  </si>
  <si>
    <t>3-Year</t>
  </si>
  <si>
    <t>5-Year</t>
  </si>
  <si>
    <t>10-Year</t>
  </si>
  <si>
    <t>Difference</t>
  </si>
  <si>
    <t>Cumulative BRK Returns (Log)</t>
  </si>
  <si>
    <t>15-Year</t>
  </si>
  <si>
    <t>Cumulative Excess BRK Returns (Log)</t>
  </si>
  <si>
    <t>1st 40 years</t>
  </si>
  <si>
    <t>Returns:</t>
  </si>
  <si>
    <t>1st 20 years</t>
  </si>
  <si>
    <t>1st 30 years</t>
  </si>
  <si>
    <t>Last 15 years</t>
  </si>
  <si>
    <t>Last 25 years</t>
  </si>
  <si>
    <t>&lt;- 10x in 10, 3 times</t>
  </si>
  <si>
    <t>Chairman's Letter - 1995 (berkshirehathaway.com)</t>
  </si>
  <si>
    <t>Per:</t>
  </si>
  <si>
    <t>Buffett's 1995 letter set the goal of 15% the primary reason for that was due it's larget capital base.</t>
  </si>
  <si>
    <t>He also acknowledged that the stock price had grown faster than it's intrinsic value (P/E expansion).</t>
  </si>
  <si>
    <t>"The stock, in 
other words, has outperformed the business"</t>
  </si>
  <si>
    <t>Note: BRK.B was created in 1995 to respond to Berkshire Hathway Unit Trust, which Buffett disliked</t>
  </si>
  <si>
    <t xml:space="preserve">very much. </t>
  </si>
  <si>
    <t>Return/ risk</t>
  </si>
  <si>
    <t>Std deviation</t>
  </si>
  <si>
    <t>Correlation:</t>
  </si>
  <si>
    <t>&lt;- market return since</t>
  </si>
  <si>
    <t>From 1st year</t>
  </si>
  <si>
    <t>From 2nd year</t>
  </si>
  <si>
    <t>…</t>
  </si>
  <si>
    <t>Average</t>
  </si>
  <si>
    <t>Cumulative SP500 Returns (Log)</t>
  </si>
  <si>
    <t>Overlapping</t>
  </si>
  <si>
    <t>Returns % positive</t>
  </si>
  <si>
    <t>All</t>
  </si>
  <si>
    <t>Pfizer (PFE)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</si>
</sst>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_(* #,##0.0000_);_(* \(#,##0.0000\);_(* &quot;-&quot;??_);_(@_)"/>
    <numFmt numFmtId="168" formatCode="#,##0%"/>
    <numFmt numFmtId="169" formatCode="0.0"/>
    <numFmt numFmtId="170" formatCode="0.0_);\(0.0\)"/>
    <numFmt numFmtId="171" formatCode="_(* #,##0.000000_);_(* \(#,##0.000000\);_(* &quot;-&quot;??_);_(@_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u val="singleAccounting"/>
      <sz val="14"/>
      <color theme="1"/>
      <name val="Arial Black"/>
      <family val="2"/>
    </font>
    <font>
      <sz val="14"/>
      <color rgb="FF0070C0"/>
      <name val="Arial Black"/>
      <family val="2"/>
    </font>
    <font>
      <sz val="14"/>
      <name val="Arial Black"/>
      <family val="2"/>
    </font>
    <font>
      <sz val="14"/>
      <color theme="9" tint="-0.249977111117893"/>
      <name val="Arial Black"/>
      <family val="2"/>
    </font>
    <font>
      <vertAlign val="subscript"/>
      <sz val="14"/>
      <color theme="1"/>
      <name val="Arial Black"/>
      <family val="2"/>
    </font>
    <font>
      <sz val="12"/>
      <color theme="1"/>
      <name val="Arial Black"/>
      <family val="2"/>
    </font>
    <font>
      <vertAlign val="subscript"/>
      <sz val="12"/>
      <color theme="1"/>
      <name val="Arial Black"/>
      <family val="2"/>
    </font>
    <font>
      <sz val="10"/>
      <color theme="1"/>
      <name val="Arial Black"/>
      <family val="2"/>
    </font>
    <font>
      <vertAlign val="subscript"/>
      <sz val="10"/>
      <color theme="1"/>
      <name val="Arial Black"/>
      <family val="2"/>
    </font>
    <font>
      <sz val="10"/>
      <color rgb="FFFF0000"/>
      <name val="Arial Black"/>
      <family val="2"/>
    </font>
    <font>
      <u/>
      <sz val="14"/>
      <color theme="1"/>
      <name val="Arial Black"/>
      <family val="2"/>
    </font>
    <font>
      <sz val="14"/>
      <color theme="7" tint="0.39997558519241921"/>
      <name val="Arial Black"/>
      <family val="2"/>
    </font>
    <font>
      <sz val="14"/>
      <color theme="0"/>
      <name val="Arial Black"/>
      <family val="2"/>
    </font>
    <font>
      <u val="singleAccounting"/>
      <sz val="14"/>
      <color theme="0"/>
      <name val="Arial Black"/>
      <family val="2"/>
    </font>
    <font>
      <sz val="14"/>
      <color rgb="FFC9A6E4"/>
      <name val="Arial Black"/>
      <family val="2"/>
    </font>
    <font>
      <sz val="14"/>
      <color theme="7" tint="0.59999389629810485"/>
      <name val="Arial Black"/>
      <family val="2"/>
    </font>
    <font>
      <u val="singleAccounting"/>
      <sz val="14"/>
      <color theme="7" tint="0.39994506668294322"/>
      <name val="Arial Black"/>
      <family val="2"/>
    </font>
    <font>
      <u val="singleAccounting"/>
      <sz val="12"/>
      <color rgb="FFC9A6E4"/>
      <name val="Arial Black"/>
      <family val="2"/>
    </font>
    <font>
      <sz val="12"/>
      <color theme="0"/>
      <name val="Arial Black"/>
      <family val="2"/>
    </font>
    <font>
      <sz val="8"/>
      <color theme="1" tint="0.249977111117893"/>
      <name val="Arial Black"/>
      <family val="2"/>
    </font>
    <font>
      <sz val="9"/>
      <color rgb="FFC9A6E4"/>
      <name val="Arial Black"/>
      <family val="2"/>
    </font>
    <font>
      <sz val="12"/>
      <color theme="7" tint="0.39997558519241921"/>
      <name val="Arial Black"/>
      <family val="2"/>
    </font>
    <font>
      <u val="singleAccounting"/>
      <sz val="8"/>
      <color theme="0" tint="-0.14999847407452621"/>
      <name val="Arial Black"/>
      <family val="2"/>
    </font>
    <font>
      <sz val="8"/>
      <color theme="0" tint="-0.14999847407452621"/>
      <name val="Arial Black"/>
      <family val="2"/>
    </font>
    <font>
      <sz val="14"/>
      <color theme="0" tint="-4.9989318521683403E-2"/>
      <name val="Arial Black"/>
      <family val="2"/>
    </font>
    <font>
      <u val="singleAccounting"/>
      <sz val="11"/>
      <color theme="0" tint="-4.9989318521683403E-2"/>
      <name val="Arial Black"/>
      <family val="2"/>
    </font>
    <font>
      <sz val="11"/>
      <color theme="0" tint="-4.9989318521683403E-2"/>
      <name val="Arial Black"/>
      <family val="2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0"/>
      <name val="Arial Black"/>
      <family val="2"/>
    </font>
    <font>
      <u/>
      <sz val="12"/>
      <color theme="0"/>
      <name val="Arial Black"/>
      <family val="2"/>
    </font>
    <font>
      <sz val="8"/>
      <color theme="7" tint="0.39997558519241921"/>
      <name val="Arial Black"/>
      <family val="2"/>
    </font>
    <font>
      <sz val="11"/>
      <name val="Arial Black"/>
      <family val="2"/>
    </font>
    <font>
      <u/>
      <sz val="11"/>
      <color theme="10"/>
      <name val="Calibri"/>
      <family val="2"/>
      <scheme val="minor"/>
    </font>
    <font>
      <sz val="16"/>
      <color rgb="FFAE6DE4"/>
      <name val="Arial Black"/>
      <family val="2"/>
    </font>
    <font>
      <u/>
      <sz val="16"/>
      <color rgb="FFE9E8E2"/>
      <name val="Arial Black"/>
      <family val="2"/>
    </font>
    <font>
      <sz val="16"/>
      <color theme="1"/>
      <name val="Arial Black"/>
      <family val="2"/>
    </font>
    <font>
      <sz val="16"/>
      <color rgb="FFE9E8E2"/>
      <name val="Arial Black"/>
      <family val="2"/>
    </font>
    <font>
      <sz val="12"/>
      <color rgb="FFE9E8E2"/>
      <name val="Arial Black"/>
      <family val="2"/>
    </font>
    <font>
      <sz val="11"/>
      <color rgb="FFE9E8E2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imes New Roman"/>
      <family val="1"/>
    </font>
    <font>
      <sz val="10"/>
      <color rgb="FF231F20"/>
      <name val="Times New Roman"/>
      <family val="2"/>
    </font>
    <font>
      <b/>
      <sz val="8"/>
      <color rgb="FF231F20"/>
      <name val="Times New Roman"/>
      <family val="1"/>
    </font>
    <font>
      <sz val="8"/>
      <color rgb="FF231F20"/>
      <name val="Times New Roman"/>
      <family val="1"/>
    </font>
    <font>
      <sz val="8.5"/>
      <color rgb="FF231F20"/>
      <name val="Times New Roman"/>
      <family val="2"/>
    </font>
    <font>
      <sz val="8.5"/>
      <name val="Times New Roman"/>
      <family val="1"/>
    </font>
    <font>
      <sz val="8.5"/>
      <color rgb="FF231F20"/>
      <name val="Times New Roman"/>
      <family val="1"/>
    </font>
    <font>
      <b/>
      <sz val="10"/>
      <name val="Times New Roman"/>
      <family val="1"/>
    </font>
    <font>
      <b/>
      <sz val="10"/>
      <color rgb="FF231F20"/>
      <name val="Times New Roman"/>
      <family val="1"/>
    </font>
    <font>
      <u val="singleAccounting"/>
      <sz val="10"/>
      <color rgb="FF000000"/>
      <name val="Times New Roman"/>
      <family val="1"/>
    </font>
    <font>
      <u val="singleAccounting"/>
      <sz val="8.5"/>
      <name val="Times New Roman"/>
      <family val="1"/>
    </font>
    <font>
      <u val="singleAccounting"/>
      <sz val="8.5"/>
      <color rgb="FF231F20"/>
      <name val="Times New Roman"/>
      <family val="1"/>
    </font>
    <font>
      <sz val="8"/>
      <color theme="0" tint="-0.34998626667073579"/>
      <name val="Times New Roman"/>
      <family val="1"/>
    </font>
    <font>
      <sz val="8"/>
      <color rgb="FF000000"/>
      <name val="Times New Roman"/>
      <family val="1"/>
    </font>
    <font>
      <u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E9E8E2"/>
      </left>
      <right style="thin">
        <color rgb="FFE9E8E2"/>
      </right>
      <top style="thin">
        <color rgb="FFE9E8E2"/>
      </top>
      <bottom style="thin">
        <color rgb="FFE9E8E2"/>
      </bottom>
      <diagonal/>
    </border>
    <border>
      <left style="thin">
        <color rgb="FFE9E8E2"/>
      </left>
      <right style="thin">
        <color rgb="FFE9E8E2"/>
      </right>
      <top style="thin">
        <color rgb="FFE9E8E2"/>
      </top>
      <bottom/>
      <diagonal/>
    </border>
    <border>
      <left style="thin">
        <color rgb="FFE9E8E2"/>
      </left>
      <right style="thin">
        <color rgb="FFE9E8E2"/>
      </right>
      <top/>
      <bottom style="thin">
        <color rgb="FFE9E8E2"/>
      </bottom>
      <diagonal/>
    </border>
    <border>
      <left style="thin">
        <color rgb="FFE9E8E2"/>
      </left>
      <right/>
      <top style="thin">
        <color rgb="FFE9E8E2"/>
      </top>
      <bottom style="thin">
        <color rgb="FFE9E8E2"/>
      </bottom>
      <diagonal/>
    </border>
    <border>
      <left/>
      <right style="thin">
        <color rgb="FFE9E8E2"/>
      </right>
      <top style="thin">
        <color rgb="FFE9E8E2"/>
      </top>
      <bottom style="thin">
        <color rgb="FFE9E8E2"/>
      </bottom>
      <diagonal/>
    </border>
    <border>
      <left/>
      <right/>
      <top style="thin">
        <color rgb="FF231F2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/>
  </cellStyleXfs>
  <cellXfs count="16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3" fontId="4" fillId="0" borderId="0" xfId="1" applyFont="1"/>
    <xf numFmtId="43" fontId="2" fillId="0" borderId="0" xfId="1" applyFont="1"/>
    <xf numFmtId="43" fontId="5" fillId="0" borderId="0" xfId="1" applyFont="1"/>
    <xf numFmtId="165" fontId="4" fillId="0" borderId="0" xfId="1" applyNumberFormat="1" applyFont="1"/>
    <xf numFmtId="164" fontId="6" fillId="0" borderId="0" xfId="0" applyNumberFormat="1" applyFont="1"/>
    <xf numFmtId="43" fontId="2" fillId="0" borderId="0" xfId="0" applyNumberFormat="1" applyFont="1"/>
    <xf numFmtId="14" fontId="0" fillId="0" borderId="0" xfId="0" applyNumberFormat="1"/>
    <xf numFmtId="164" fontId="2" fillId="0" borderId="0" xfId="2" applyNumberFormat="1" applyFont="1"/>
    <xf numFmtId="0" fontId="2" fillId="0" borderId="0" xfId="0" applyFont="1" applyAlignment="1">
      <alignment horizontal="left" indent="1"/>
    </xf>
    <xf numFmtId="164" fontId="4" fillId="0" borderId="1" xfId="2" applyNumberFormat="1" applyFont="1" applyBorder="1"/>
    <xf numFmtId="0" fontId="2" fillId="0" borderId="0" xfId="0" applyFont="1" applyAlignment="1"/>
    <xf numFmtId="0" fontId="2" fillId="0" borderId="0" xfId="1" applyNumberFormat="1" applyFont="1" applyAlignment="1">
      <alignment horizontal="left" indent="1"/>
    </xf>
    <xf numFmtId="165" fontId="4" fillId="0" borderId="0" xfId="1" applyNumberFormat="1" applyFont="1" applyBorder="1"/>
    <xf numFmtId="164" fontId="5" fillId="0" borderId="2" xfId="2" applyNumberFormat="1" applyFont="1" applyBorder="1"/>
    <xf numFmtId="43" fontId="5" fillId="0" borderId="3" xfId="1" applyFont="1" applyBorder="1"/>
    <xf numFmtId="44" fontId="4" fillId="0" borderId="3" xfId="3" applyFont="1" applyBorder="1"/>
    <xf numFmtId="44" fontId="6" fillId="0" borderId="3" xfId="3" applyFont="1" applyBorder="1"/>
    <xf numFmtId="0" fontId="2" fillId="0" borderId="4" xfId="0" applyFont="1" applyBorder="1"/>
    <xf numFmtId="165" fontId="4" fillId="0" borderId="4" xfId="1" applyNumberFormat="1" applyFont="1" applyBorder="1"/>
    <xf numFmtId="0" fontId="10" fillId="0" borderId="0" xfId="0" applyFont="1" applyAlignment="1">
      <alignment horizontal="left" indent="1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0" fontId="8" fillId="0" borderId="0" xfId="0" applyFont="1" applyAlignment="1">
      <alignment horizontal="left" indent="1"/>
    </xf>
    <xf numFmtId="164" fontId="6" fillId="0" borderId="3" xfId="2" applyNumberFormat="1" applyFont="1" applyBorder="1"/>
    <xf numFmtId="164" fontId="2" fillId="0" borderId="0" xfId="0" applyNumberFormat="1" applyFont="1"/>
    <xf numFmtId="0" fontId="8" fillId="0" borderId="0" xfId="0" quotePrefix="1" applyFont="1" applyAlignment="1">
      <alignment horizontal="left" indent="1"/>
    </xf>
    <xf numFmtId="0" fontId="13" fillId="0" borderId="0" xfId="0" applyFont="1" applyAlignment="1">
      <alignment horizontal="center" vertical="center"/>
    </xf>
    <xf numFmtId="44" fontId="2" fillId="0" borderId="3" xfId="0" applyNumberFormat="1" applyFont="1" applyBorder="1"/>
    <xf numFmtId="0" fontId="10" fillId="0" borderId="0" xfId="0" applyFont="1" applyAlignment="1">
      <alignment horizontal="left" vertical="center" indent="1"/>
    </xf>
    <xf numFmtId="0" fontId="2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3" fontId="2" fillId="2" borderId="0" xfId="0" applyNumberFormat="1" applyFont="1" applyFill="1"/>
    <xf numFmtId="0" fontId="2" fillId="2" borderId="0" xfId="0" applyFont="1" applyFill="1" applyAlignment="1">
      <alignment horizontal="center"/>
    </xf>
    <xf numFmtId="43" fontId="2" fillId="2" borderId="0" xfId="1" applyFont="1" applyFill="1"/>
    <xf numFmtId="0" fontId="15" fillId="2" borderId="0" xfId="0" applyFont="1" applyFill="1"/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43" fontId="15" fillId="2" borderId="0" xfId="1" applyFont="1" applyFill="1"/>
    <xf numFmtId="164" fontId="17" fillId="2" borderId="0" xfId="0" applyNumberFormat="1" applyFont="1" applyFill="1"/>
    <xf numFmtId="43" fontId="18" fillId="2" borderId="0" xfId="1" applyFont="1" applyFill="1"/>
    <xf numFmtId="165" fontId="18" fillId="2" borderId="0" xfId="1" applyNumberFormat="1" applyFont="1" applyFill="1"/>
    <xf numFmtId="0" fontId="19" fillId="2" borderId="0" xfId="0" applyFont="1" applyFill="1"/>
    <xf numFmtId="164" fontId="20" fillId="2" borderId="0" xfId="0" applyNumberFormat="1" applyFont="1" applyFill="1"/>
    <xf numFmtId="0" fontId="21" fillId="2" borderId="0" xfId="0" applyFont="1" applyFill="1" applyAlignment="1">
      <alignment horizontal="center"/>
    </xf>
    <xf numFmtId="43" fontId="21" fillId="2" borderId="0" xfId="1" applyFont="1" applyFill="1"/>
    <xf numFmtId="0" fontId="22" fillId="2" borderId="0" xfId="0" applyFont="1" applyFill="1" applyAlignment="1">
      <alignment horizontal="center"/>
    </xf>
    <xf numFmtId="165" fontId="23" fillId="2" borderId="0" xfId="1" applyNumberFormat="1" applyFont="1" applyFill="1"/>
    <xf numFmtId="0" fontId="24" fillId="2" borderId="0" xfId="0" applyFont="1" applyFill="1" applyAlignment="1">
      <alignment horizontal="right"/>
    </xf>
    <xf numFmtId="0" fontId="14" fillId="2" borderId="0" xfId="0" applyFont="1" applyFill="1" applyAlignment="1">
      <alignment horizontal="left" indent="1"/>
    </xf>
    <xf numFmtId="164" fontId="2" fillId="2" borderId="0" xfId="2" applyNumberFormat="1" applyFont="1" applyFill="1"/>
    <xf numFmtId="0" fontId="27" fillId="2" borderId="0" xfId="0" applyFont="1" applyFill="1"/>
    <xf numFmtId="43" fontId="14" fillId="2" borderId="0" xfId="1" applyFont="1" applyFill="1"/>
    <xf numFmtId="0" fontId="25" fillId="2" borderId="0" xfId="0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27" fillId="2" borderId="0" xfId="0" applyFont="1" applyFill="1" applyAlignment="1">
      <alignment horizontal="center"/>
    </xf>
    <xf numFmtId="164" fontId="27" fillId="2" borderId="0" xfId="2" applyNumberFormat="1" applyFont="1" applyFill="1"/>
    <xf numFmtId="0" fontId="28" fillId="2" borderId="0" xfId="0" applyFont="1" applyFill="1" applyAlignment="1">
      <alignment horizontal="center"/>
    </xf>
    <xf numFmtId="164" fontId="28" fillId="2" borderId="0" xfId="2" applyNumberFormat="1" applyFont="1" applyFill="1" applyAlignment="1">
      <alignment horizontal="center"/>
    </xf>
    <xf numFmtId="164" fontId="28" fillId="2" borderId="0" xfId="2" applyNumberFormat="1" applyFont="1" applyFill="1" applyAlignment="1">
      <alignment horizontal="center" wrapText="1"/>
    </xf>
    <xf numFmtId="0" fontId="29" fillId="2" borderId="0" xfId="0" applyFont="1" applyFill="1" applyAlignment="1">
      <alignment horizontal="center"/>
    </xf>
    <xf numFmtId="0" fontId="29" fillId="2" borderId="0" xfId="0" applyFont="1" applyFill="1"/>
    <xf numFmtId="164" fontId="29" fillId="2" borderId="0" xfId="2" applyNumberFormat="1" applyFont="1" applyFill="1"/>
    <xf numFmtId="165" fontId="29" fillId="2" borderId="0" xfId="1" applyNumberFormat="1" applyFont="1" applyFill="1"/>
    <xf numFmtId="164" fontId="17" fillId="2" borderId="0" xfId="2" applyNumberFormat="1" applyFont="1" applyFill="1"/>
    <xf numFmtId="165" fontId="0" fillId="2" borderId="0" xfId="1" applyNumberFormat="1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5" fontId="30" fillId="2" borderId="0" xfId="1" applyNumberFormat="1" applyFont="1" applyFill="1"/>
    <xf numFmtId="0" fontId="30" fillId="2" borderId="0" xfId="0" applyFont="1" applyFill="1" applyAlignment="1">
      <alignment horizontal="center"/>
    </xf>
    <xf numFmtId="0" fontId="31" fillId="2" borderId="0" xfId="0" applyFont="1" applyFill="1"/>
    <xf numFmtId="166" fontId="18" fillId="2" borderId="0" xfId="1" applyNumberFormat="1" applyFont="1" applyFill="1" applyAlignment="1">
      <alignment vertical="center"/>
    </xf>
    <xf numFmtId="0" fontId="31" fillId="2" borderId="0" xfId="0" applyFont="1" applyFill="1" applyAlignment="1">
      <alignment vertical="center"/>
    </xf>
    <xf numFmtId="165" fontId="18" fillId="2" borderId="0" xfId="1" applyNumberFormat="1" applyFont="1" applyFill="1" applyAlignment="1">
      <alignment vertical="center"/>
    </xf>
    <xf numFmtId="44" fontId="32" fillId="2" borderId="0" xfId="3" applyFont="1" applyFill="1"/>
    <xf numFmtId="0" fontId="33" fillId="2" borderId="0" xfId="0" applyFont="1" applyFill="1" applyAlignment="1">
      <alignment horizontal="left"/>
    </xf>
    <xf numFmtId="0" fontId="34" fillId="2" borderId="0" xfId="0" applyFont="1" applyFill="1" applyAlignment="1">
      <alignment horizontal="center" vertical="center"/>
    </xf>
    <xf numFmtId="44" fontId="35" fillId="2" borderId="0" xfId="3" applyFont="1" applyFill="1"/>
    <xf numFmtId="0" fontId="37" fillId="2" borderId="0" xfId="0" applyFont="1" applyFill="1"/>
    <xf numFmtId="0" fontId="38" fillId="2" borderId="0" xfId="4" applyFont="1" applyFill="1"/>
    <xf numFmtId="0" fontId="39" fillId="2" borderId="0" xfId="0" applyFont="1" applyFill="1"/>
    <xf numFmtId="0" fontId="37" fillId="2" borderId="0" xfId="0" applyFont="1" applyFill="1" applyAlignment="1">
      <alignment horizontal="center"/>
    </xf>
    <xf numFmtId="165" fontId="37" fillId="2" borderId="0" xfId="1" applyNumberFormat="1" applyFont="1" applyFill="1"/>
    <xf numFmtId="43" fontId="37" fillId="2" borderId="0" xfId="1" applyFont="1" applyFill="1"/>
    <xf numFmtId="164" fontId="37" fillId="2" borderId="0" xfId="2" applyNumberFormat="1" applyFont="1" applyFill="1"/>
    <xf numFmtId="165" fontId="39" fillId="2" borderId="0" xfId="1" applyNumberFormat="1" applyFont="1" applyFill="1"/>
    <xf numFmtId="43" fontId="39" fillId="2" borderId="0" xfId="1" applyFont="1" applyFill="1"/>
    <xf numFmtId="0" fontId="39" fillId="2" borderId="0" xfId="0" applyFont="1" applyFill="1" applyAlignment="1">
      <alignment horizontal="center"/>
    </xf>
    <xf numFmtId="0" fontId="37" fillId="2" borderId="6" xfId="0" applyFont="1" applyFill="1" applyBorder="1"/>
    <xf numFmtId="0" fontId="37" fillId="2" borderId="7" xfId="0" applyFont="1" applyFill="1" applyBorder="1" applyAlignment="1">
      <alignment horizontal="center"/>
    </xf>
    <xf numFmtId="14" fontId="37" fillId="2" borderId="6" xfId="0" applyNumberFormat="1" applyFont="1" applyFill="1" applyBorder="1" applyAlignment="1">
      <alignment horizontal="center"/>
    </xf>
    <xf numFmtId="14" fontId="37" fillId="2" borderId="7" xfId="0" applyNumberFormat="1" applyFont="1" applyFill="1" applyBorder="1" applyAlignment="1">
      <alignment horizontal="center"/>
    </xf>
    <xf numFmtId="14" fontId="37" fillId="2" borderId="5" xfId="0" applyNumberFormat="1" applyFont="1" applyFill="1" applyBorder="1" applyAlignment="1">
      <alignment horizontal="center"/>
    </xf>
    <xf numFmtId="14" fontId="37" fillId="2" borderId="8" xfId="0" applyNumberFormat="1" applyFont="1" applyFill="1" applyBorder="1" applyAlignment="1">
      <alignment horizontal="center"/>
    </xf>
    <xf numFmtId="0" fontId="37" fillId="2" borderId="0" xfId="0" applyFont="1" applyFill="1" applyAlignment="1">
      <alignment horizontal="right" indent="1"/>
    </xf>
    <xf numFmtId="14" fontId="40" fillId="2" borderId="0" xfId="0" applyNumberFormat="1" applyFont="1" applyFill="1"/>
    <xf numFmtId="0" fontId="41" fillId="2" borderId="0" xfId="0" applyFont="1" applyFill="1"/>
    <xf numFmtId="43" fontId="41" fillId="2" borderId="0" xfId="1" applyFont="1" applyFill="1"/>
    <xf numFmtId="164" fontId="41" fillId="2" borderId="0" xfId="2" applyNumberFormat="1" applyFont="1" applyFill="1"/>
    <xf numFmtId="0" fontId="41" fillId="2" borderId="0" xfId="0" applyFont="1" applyFill="1" applyAlignment="1">
      <alignment horizontal="right" indent="1"/>
    </xf>
    <xf numFmtId="0" fontId="37" fillId="2" borderId="5" xfId="0" applyFont="1" applyFill="1" applyBorder="1" applyAlignment="1">
      <alignment horizontal="center"/>
    </xf>
    <xf numFmtId="43" fontId="42" fillId="2" borderId="0" xfId="1" applyFont="1" applyFill="1"/>
    <xf numFmtId="0" fontId="41" fillId="2" borderId="5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14" fontId="42" fillId="2" borderId="7" xfId="0" applyNumberFormat="1" applyFont="1" applyFill="1" applyBorder="1" applyAlignment="1">
      <alignment horizontal="center"/>
    </xf>
    <xf numFmtId="0" fontId="41" fillId="2" borderId="0" xfId="0" quotePrefix="1" applyFont="1" applyFill="1" applyAlignment="1">
      <alignment horizontal="right" indent="3"/>
    </xf>
    <xf numFmtId="0" fontId="41" fillId="2" borderId="0" xfId="0" applyFont="1" applyFill="1" applyAlignment="1">
      <alignment horizontal="right" indent="2"/>
    </xf>
    <xf numFmtId="0" fontId="45" fillId="0" borderId="0" xfId="5" applyAlignment="1">
      <alignment horizontal="left" vertical="top"/>
    </xf>
    <xf numFmtId="0" fontId="45" fillId="0" borderId="0" xfId="5" applyAlignment="1">
      <alignment horizontal="left" wrapText="1"/>
    </xf>
    <xf numFmtId="168" fontId="49" fillId="0" borderId="0" xfId="5" applyNumberFormat="1" applyFont="1" applyAlignment="1">
      <alignment horizontal="right" vertical="top" indent="5" shrinkToFit="1"/>
    </xf>
    <xf numFmtId="168" fontId="49" fillId="0" borderId="0" xfId="5" applyNumberFormat="1" applyFont="1" applyAlignment="1">
      <alignment horizontal="right" vertical="top" indent="4" shrinkToFit="1"/>
    </xf>
    <xf numFmtId="0" fontId="50" fillId="0" borderId="0" xfId="5" applyFont="1" applyAlignment="1">
      <alignment horizontal="left" vertical="top" wrapText="1"/>
    </xf>
    <xf numFmtId="164" fontId="49" fillId="0" borderId="0" xfId="5" applyNumberFormat="1" applyFont="1" applyAlignment="1">
      <alignment horizontal="right" vertical="top" indent="5" shrinkToFit="1"/>
    </xf>
    <xf numFmtId="164" fontId="49" fillId="0" borderId="0" xfId="5" applyNumberFormat="1" applyFont="1" applyAlignment="1">
      <alignment horizontal="right" vertical="top" indent="4" shrinkToFit="1"/>
    </xf>
    <xf numFmtId="169" fontId="49" fillId="0" borderId="0" xfId="5" applyNumberFormat="1" applyFont="1" applyAlignment="1">
      <alignment horizontal="right" vertical="top" indent="5" shrinkToFit="1"/>
    </xf>
    <xf numFmtId="169" fontId="49" fillId="0" borderId="0" xfId="5" applyNumberFormat="1" applyFont="1" applyAlignment="1">
      <alignment horizontal="right" vertical="top" indent="4" shrinkToFit="1"/>
    </xf>
    <xf numFmtId="170" fontId="49" fillId="0" borderId="0" xfId="5" applyNumberFormat="1" applyFont="1" applyAlignment="1">
      <alignment horizontal="right" vertical="top" indent="5" shrinkToFit="1"/>
    </xf>
    <xf numFmtId="170" fontId="49" fillId="0" borderId="0" xfId="5" applyNumberFormat="1" applyFont="1" applyAlignment="1">
      <alignment horizontal="right" vertical="top" indent="4" shrinkToFit="1"/>
    </xf>
    <xf numFmtId="0" fontId="45" fillId="0" borderId="0" xfId="5" applyAlignment="1">
      <alignment horizontal="left" vertical="top" wrapText="1"/>
    </xf>
    <xf numFmtId="0" fontId="50" fillId="0" borderId="0" xfId="5" applyFont="1" applyAlignment="1">
      <alignment horizontal="left" wrapText="1"/>
    </xf>
    <xf numFmtId="0" fontId="36" fillId="0" borderId="0" xfId="4"/>
    <xf numFmtId="164" fontId="45" fillId="0" borderId="0" xfId="2" applyNumberFormat="1" applyFont="1" applyAlignment="1">
      <alignment horizontal="left" vertical="top"/>
    </xf>
    <xf numFmtId="43" fontId="45" fillId="0" borderId="0" xfId="1" applyFont="1" applyAlignment="1">
      <alignment horizontal="left" vertical="top"/>
    </xf>
    <xf numFmtId="165" fontId="45" fillId="0" borderId="0" xfId="1" applyNumberFormat="1" applyFont="1" applyAlignment="1">
      <alignment horizontal="left" vertical="top"/>
    </xf>
    <xf numFmtId="171" fontId="45" fillId="0" borderId="0" xfId="1" applyNumberFormat="1" applyFont="1" applyAlignment="1">
      <alignment horizontal="left" vertical="top"/>
    </xf>
    <xf numFmtId="0" fontId="55" fillId="0" borderId="10" xfId="5" applyFont="1" applyBorder="1" applyAlignment="1">
      <alignment horizontal="center" wrapText="1"/>
    </xf>
    <xf numFmtId="0" fontId="54" fillId="0" borderId="0" xfId="5" applyFont="1" applyAlignment="1">
      <alignment horizontal="center"/>
    </xf>
    <xf numFmtId="0" fontId="45" fillId="0" borderId="0" xfId="5" applyAlignment="1">
      <alignment horizontal="center"/>
    </xf>
    <xf numFmtId="43" fontId="45" fillId="0" borderId="0" xfId="5" applyNumberFormat="1" applyAlignment="1">
      <alignment horizontal="left" vertical="top"/>
    </xf>
    <xf numFmtId="0" fontId="45" fillId="0" borderId="0" xfId="5" applyBorder="1" applyAlignment="1">
      <alignment horizontal="center" vertical="center"/>
    </xf>
    <xf numFmtId="0" fontId="50" fillId="0" borderId="0" xfId="5" applyFont="1" applyAlignment="1">
      <alignment horizontal="right" vertical="center" wrapText="1" indent="10"/>
    </xf>
    <xf numFmtId="0" fontId="57" fillId="0" borderId="0" xfId="5" applyFont="1" applyBorder="1" applyAlignment="1">
      <alignment horizontal="center" vertical="center"/>
    </xf>
    <xf numFmtId="167" fontId="45" fillId="0" borderId="0" xfId="5" applyNumberFormat="1" applyAlignment="1">
      <alignment horizontal="left" vertical="top"/>
    </xf>
    <xf numFmtId="0" fontId="45" fillId="3" borderId="12" xfId="5" applyFill="1" applyBorder="1" applyAlignment="1">
      <alignment horizontal="left" vertical="top"/>
    </xf>
    <xf numFmtId="0" fontId="45" fillId="3" borderId="13" xfId="5" applyFill="1" applyBorder="1" applyAlignment="1">
      <alignment horizontal="left" vertical="top"/>
    </xf>
    <xf numFmtId="0" fontId="45" fillId="3" borderId="12" xfId="5" applyFill="1" applyBorder="1" applyAlignment="1">
      <alignment horizontal="left" vertical="center"/>
    </xf>
    <xf numFmtId="0" fontId="36" fillId="3" borderId="12" xfId="4" applyFill="1" applyBorder="1" applyAlignment="1">
      <alignment vertical="center"/>
    </xf>
    <xf numFmtId="0" fontId="45" fillId="3" borderId="11" xfId="5" applyFill="1" applyBorder="1" applyAlignment="1">
      <alignment horizontal="left" vertical="center" indent="1"/>
    </xf>
    <xf numFmtId="1" fontId="46" fillId="0" borderId="0" xfId="5" applyNumberFormat="1" applyFont="1" applyAlignment="1">
      <alignment horizontal="center" vertical="top" shrinkToFit="1"/>
    </xf>
    <xf numFmtId="1" fontId="46" fillId="0" borderId="0" xfId="5" applyNumberFormat="1" applyFont="1" applyAlignment="1">
      <alignment horizontal="left" vertical="top" shrinkToFit="1"/>
    </xf>
    <xf numFmtId="0" fontId="45" fillId="0" borderId="0" xfId="5" applyAlignment="1">
      <alignment horizontal="left" vertical="top" indent="1"/>
    </xf>
    <xf numFmtId="164" fontId="45" fillId="0" borderId="0" xfId="2" applyNumberFormat="1" applyFont="1" applyAlignment="1">
      <alignment vertical="top"/>
    </xf>
    <xf numFmtId="0" fontId="45" fillId="0" borderId="0" xfId="5" applyAlignment="1">
      <alignment horizontal="right" vertical="top" indent="1"/>
    </xf>
    <xf numFmtId="0" fontId="45" fillId="0" borderId="0" xfId="5" applyAlignment="1">
      <alignment vertical="top"/>
    </xf>
    <xf numFmtId="43" fontId="45" fillId="0" borderId="0" xfId="1" applyFont="1" applyAlignment="1">
      <alignment vertical="top"/>
    </xf>
    <xf numFmtId="0" fontId="58" fillId="0" borderId="0" xfId="5" applyFont="1" applyAlignment="1">
      <alignment horizontal="left" vertical="top"/>
    </xf>
    <xf numFmtId="0" fontId="58" fillId="0" borderId="0" xfId="5" quotePrefix="1" applyFont="1" applyAlignment="1">
      <alignment horizontal="left" vertical="top"/>
    </xf>
    <xf numFmtId="0" fontId="59" fillId="0" borderId="0" xfId="5" applyFont="1" applyAlignment="1">
      <alignment horizontal="center" vertical="top"/>
    </xf>
    <xf numFmtId="10" fontId="45" fillId="0" borderId="0" xfId="2" applyNumberFormat="1" applyFont="1" applyAlignment="1">
      <alignment vertical="top"/>
    </xf>
    <xf numFmtId="1" fontId="46" fillId="0" borderId="0" xfId="5" applyNumberFormat="1" applyFont="1" applyAlignment="1">
      <alignment vertical="top" shrinkToFit="1"/>
    </xf>
    <xf numFmtId="0" fontId="22" fillId="4" borderId="0" xfId="0" applyFont="1" applyFill="1" applyAlignment="1">
      <alignment horizontal="center"/>
    </xf>
    <xf numFmtId="14" fontId="37" fillId="2" borderId="8" xfId="0" applyNumberFormat="1" applyFont="1" applyFill="1" applyBorder="1" applyAlignment="1">
      <alignment horizontal="center"/>
    </xf>
    <xf numFmtId="14" fontId="37" fillId="2" borderId="9" xfId="0" applyNumberFormat="1" applyFont="1" applyFill="1" applyBorder="1" applyAlignment="1">
      <alignment horizontal="center"/>
    </xf>
    <xf numFmtId="0" fontId="45" fillId="0" borderId="1" xfId="5" applyBorder="1" applyAlignment="1">
      <alignment horizontal="center" vertical="center"/>
    </xf>
    <xf numFmtId="0" fontId="52" fillId="0" borderId="0" xfId="5" applyFont="1" applyAlignment="1">
      <alignment horizontal="left" wrapText="1" indent="24"/>
    </xf>
    <xf numFmtId="0" fontId="50" fillId="0" borderId="0" xfId="5" applyFont="1" applyAlignment="1">
      <alignment horizontal="right" vertical="center" wrapText="1" indent="10"/>
    </xf>
    <xf numFmtId="0" fontId="45" fillId="0" borderId="0" xfId="5" applyAlignment="1">
      <alignment horizontal="left" vertical="top" wrapText="1"/>
    </xf>
    <xf numFmtId="1" fontId="46" fillId="0" borderId="0" xfId="5" applyNumberFormat="1" applyFont="1" applyAlignment="1">
      <alignment horizontal="center" vertical="top" shrinkToFit="1"/>
    </xf>
  </cellXfs>
  <cellStyles count="6">
    <cellStyle name="Comma" xfId="1" builtinId="3"/>
    <cellStyle name="Currency" xfId="3" builtinId="4"/>
    <cellStyle name="Hyperlink" xfId="4" builtinId="8"/>
    <cellStyle name="Normal" xfId="0" builtinId="0"/>
    <cellStyle name="Normal 2" xfId="5" xr:uid="{180589F7-C9BB-4BEE-836C-1D4500D855F4}"/>
    <cellStyle name="Percent" xfId="2" builtinId="5"/>
  </cellStyles>
  <dxfs count="2">
    <dxf>
      <font>
        <color rgb="FFAE6DE4"/>
      </font>
    </dxf>
    <dxf>
      <font>
        <color rgb="FFAE6DE4"/>
      </font>
    </dxf>
  </dxfs>
  <tableStyles count="0" defaultTableStyle="TableStyleMedium2" defaultPivotStyle="PivotStyleLight16"/>
  <colors>
    <mruColors>
      <color rgb="FFAE6DE4"/>
      <color rgb="FFE9E8E2"/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rgbClr val="E9E8E2"/>
                </a:solidFill>
              </a:rPr>
              <a:t>Compare Goals (Log Scale)</a:t>
            </a:r>
          </a:p>
        </c:rich>
      </c:tx>
      <c:layout>
        <c:manualLayout>
          <c:xMode val="edge"/>
          <c:yMode val="edge"/>
          <c:x val="0.267501917072272"/>
          <c:y val="2.7004180033051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'nx.in.40.summary'!$D$6</c:f>
              <c:strCache>
                <c:ptCount val="1"/>
                <c:pt idx="0">
                  <c:v>8x in 8 (29.7%)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'nx.in.40.summary'!$D$8:$D$16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3.6680161728186844</c:v>
                </c:pt>
                <c:pt idx="2">
                  <c:v>13.454342644059428</c:v>
                </c:pt>
                <c:pt idx="3">
                  <c:v>49.35074641305409</c:v>
                </c:pt>
                <c:pt idx="4">
                  <c:v>181.01933598375606</c:v>
                </c:pt>
                <c:pt idx="5">
                  <c:v>663.98185198131648</c:v>
                </c:pt>
                <c:pt idx="6">
                  <c:v>2435.4961715255708</c:v>
                </c:pt>
                <c:pt idx="7">
                  <c:v>8933.4393459937837</c:v>
                </c:pt>
                <c:pt idx="8">
                  <c:v>32767.999999999964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4B-4C60-A58A-38FD1DB6200C}"/>
            </c:ext>
          </c:extLst>
        </c:ser>
        <c:ser>
          <c:idx val="1"/>
          <c:order val="1"/>
          <c:tx>
            <c:strRef>
              <c:f>'nx.in.40.summary'!$E$6</c:f>
              <c:strCache>
                <c:ptCount val="1"/>
                <c:pt idx="0">
                  <c:v>10x in 10 (25.9%)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E9E8E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'nx.in.40.summary'!$E$8:$E$16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3.16227766016838</c:v>
                </c:pt>
                <c:pt idx="2">
                  <c:v>10.000000000000005</c:v>
                </c:pt>
                <c:pt idx="3">
                  <c:v>31.622776601683817</c:v>
                </c:pt>
                <c:pt idx="4">
                  <c:v>100.0000000000001</c:v>
                </c:pt>
                <c:pt idx="5">
                  <c:v>316.2277660168383</c:v>
                </c:pt>
                <c:pt idx="6">
                  <c:v>1000.0000000000015</c:v>
                </c:pt>
                <c:pt idx="7">
                  <c:v>3162.2776601683845</c:v>
                </c:pt>
                <c:pt idx="8">
                  <c:v>10000.00000000002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4B-4C60-A58A-38FD1DB6200C}"/>
            </c:ext>
          </c:extLst>
        </c:ser>
        <c:ser>
          <c:idx val="2"/>
          <c:order val="2"/>
          <c:tx>
            <c:strRef>
              <c:f>'nx.in.40.summary'!$F$6</c:f>
              <c:strCache>
                <c:ptCount val="1"/>
                <c:pt idx="0">
                  <c:v>15x in 15 (19.8%)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'nx.in.40.summary'!$F$8:$F$16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2.466212074330469</c:v>
                </c:pt>
                <c:pt idx="2">
                  <c:v>6.082201995573393</c:v>
                </c:pt>
                <c:pt idx="3">
                  <c:v>14.999999999999973</c:v>
                </c:pt>
                <c:pt idx="4">
                  <c:v>36.993181114956954</c:v>
                </c:pt>
                <c:pt idx="5">
                  <c:v>91.233029933600704</c:v>
                </c:pt>
                <c:pt idx="6">
                  <c:v>224.99999999999915</c:v>
                </c:pt>
                <c:pt idx="7">
                  <c:v>554.89771672435324</c:v>
                </c:pt>
                <c:pt idx="8">
                  <c:v>1368.4954490040079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4B-4C60-A58A-38FD1DB6200C}"/>
            </c:ext>
          </c:extLst>
        </c:ser>
        <c:ser>
          <c:idx val="3"/>
          <c:order val="3"/>
          <c:tx>
            <c:strRef>
              <c:f>'nx.in.40.summary'!$G$6</c:f>
              <c:strCache>
                <c:ptCount val="1"/>
                <c:pt idx="0">
                  <c:v>22x in 22 (15.1%)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'nx.in.40.summary'!$G$8:$G$16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2.0188128658666322</c:v>
                </c:pt>
                <c:pt idx="2">
                  <c:v>4.075605387388646</c:v>
                </c:pt>
                <c:pt idx="3">
                  <c:v>8.2278845922555579</c:v>
                </c:pt>
                <c:pt idx="4">
                  <c:v>16.610559273711349</c:v>
                </c:pt>
                <c:pt idx="5">
                  <c:v>33.533610771008782</c:v>
                </c:pt>
                <c:pt idx="6">
                  <c:v>67.69808486347641</c:v>
                </c:pt>
                <c:pt idx="7">
                  <c:v>136.66976471691729</c:v>
                </c:pt>
                <c:pt idx="8">
                  <c:v>275.91067938547815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4B-4C60-A58A-38FD1DB62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343403439"/>
        <c:axId val="1343407599"/>
      </c:barChart>
      <c:catAx>
        <c:axId val="134340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9E8E2">
                  <a:alpha val="5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  <a:latin typeface="+mn-lt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7599"/>
        <c:crosses val="autoZero"/>
        <c:auto val="1"/>
        <c:lblAlgn val="ctr"/>
        <c:lblOffset val="100"/>
        <c:noMultiLvlLbl val="0"/>
      </c:catAx>
      <c:valAx>
        <c:axId val="13434075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E9E8E2">
                  <a:alpha val="50000"/>
                </a:srgb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rgbClr val="AE6DE4"/>
                    </a:solidFill>
                    <a:latin typeface="+mn-lt"/>
                  </a:rPr>
                  <a:t>Portfolio</a:t>
                </a:r>
                <a:r>
                  <a:rPr lang="en-US" sz="2400" b="1" baseline="0">
                    <a:solidFill>
                      <a:srgbClr val="AE6DE4"/>
                    </a:solidFill>
                    <a:latin typeface="+mn-lt"/>
                  </a:rPr>
                  <a:t> Value </a:t>
                </a:r>
                <a:r>
                  <a:rPr lang="en-US" sz="1800" b="1" baseline="0">
                    <a:solidFill>
                      <a:srgbClr val="AE6DE4"/>
                    </a:solidFill>
                    <a:latin typeface="+mn-lt"/>
                  </a:rPr>
                  <a:t>(log scale)</a:t>
                </a:r>
                <a:endParaRPr lang="en-US" sz="1800" b="1">
                  <a:solidFill>
                    <a:srgbClr val="AE6DE4"/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1.6955681949760205E-2"/>
              <c:y val="0.1110286769709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3439"/>
        <c:crossesAt val="0"/>
        <c:crossBetween val="between"/>
      </c:valAx>
      <c:spPr>
        <a:noFill/>
        <a:ln cmpd="tri"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rgbClr val="E9E8E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  <a:alpha val="0"/>
      </a:schemeClr>
    </a:solidFill>
    <a:ln w="15875" cap="flat" cmpd="tri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rgbClr val="E9E8E2"/>
                </a:solidFill>
              </a:rPr>
              <a:t>Compare Goals (Nominal</a:t>
            </a:r>
            <a:r>
              <a:rPr lang="en-US" sz="2800" b="1" baseline="0">
                <a:solidFill>
                  <a:srgbClr val="E9E8E2"/>
                </a:solidFill>
              </a:rPr>
              <a:t> Scale)</a:t>
            </a:r>
            <a:r>
              <a:rPr lang="en-US" sz="2800" b="1">
                <a:solidFill>
                  <a:srgbClr val="E9E8E2"/>
                </a:solidFill>
              </a:rPr>
              <a:t> </a:t>
            </a:r>
          </a:p>
        </c:rich>
      </c:tx>
      <c:layout>
        <c:manualLayout>
          <c:xMode val="edge"/>
          <c:yMode val="edge"/>
          <c:x val="0.22263354233498589"/>
          <c:y val="2.3628624735161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'nx.in.40.summary'!$D$6</c:f>
              <c:strCache>
                <c:ptCount val="1"/>
                <c:pt idx="0">
                  <c:v>8x in 8 (29.7%)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'nx.in.40.summary'!$D$8:$D$16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3.6680161728186844</c:v>
                </c:pt>
                <c:pt idx="2">
                  <c:v>13.454342644059428</c:v>
                </c:pt>
                <c:pt idx="3">
                  <c:v>49.35074641305409</c:v>
                </c:pt>
                <c:pt idx="4">
                  <c:v>181.01933598375606</c:v>
                </c:pt>
                <c:pt idx="5">
                  <c:v>663.98185198131648</c:v>
                </c:pt>
                <c:pt idx="6">
                  <c:v>2435.4961715255708</c:v>
                </c:pt>
                <c:pt idx="7">
                  <c:v>8933.4393459937837</c:v>
                </c:pt>
                <c:pt idx="8">
                  <c:v>32767.999999999964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5-449C-B017-FD9A2676F1C1}"/>
            </c:ext>
          </c:extLst>
        </c:ser>
        <c:ser>
          <c:idx val="1"/>
          <c:order val="1"/>
          <c:tx>
            <c:strRef>
              <c:f>'nx.in.40.summary'!$E$6</c:f>
              <c:strCache>
                <c:ptCount val="1"/>
                <c:pt idx="0">
                  <c:v>10x in 10 (25.9%)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'nx.in.40.summary'!$E$8:$E$16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3.16227766016838</c:v>
                </c:pt>
                <c:pt idx="2">
                  <c:v>10.000000000000005</c:v>
                </c:pt>
                <c:pt idx="3">
                  <c:v>31.622776601683817</c:v>
                </c:pt>
                <c:pt idx="4">
                  <c:v>100.0000000000001</c:v>
                </c:pt>
                <c:pt idx="5">
                  <c:v>316.2277660168383</c:v>
                </c:pt>
                <c:pt idx="6">
                  <c:v>1000.0000000000015</c:v>
                </c:pt>
                <c:pt idx="7">
                  <c:v>3162.2776601683845</c:v>
                </c:pt>
                <c:pt idx="8">
                  <c:v>10000.00000000002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5-449C-B017-FD9A2676F1C1}"/>
            </c:ext>
          </c:extLst>
        </c:ser>
        <c:ser>
          <c:idx val="2"/>
          <c:order val="2"/>
          <c:tx>
            <c:strRef>
              <c:f>'nx.in.40.summary'!$F$6</c:f>
              <c:strCache>
                <c:ptCount val="1"/>
                <c:pt idx="0">
                  <c:v>15x in 15 (19.8%)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'nx.in.40.summary'!$F$8:$F$16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2.466212074330469</c:v>
                </c:pt>
                <c:pt idx="2">
                  <c:v>6.082201995573393</c:v>
                </c:pt>
                <c:pt idx="3">
                  <c:v>14.999999999999973</c:v>
                </c:pt>
                <c:pt idx="4">
                  <c:v>36.993181114956954</c:v>
                </c:pt>
                <c:pt idx="5">
                  <c:v>91.233029933600704</c:v>
                </c:pt>
                <c:pt idx="6">
                  <c:v>224.99999999999915</c:v>
                </c:pt>
                <c:pt idx="7">
                  <c:v>554.89771672435324</c:v>
                </c:pt>
                <c:pt idx="8">
                  <c:v>1368.4954490040079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35-449C-B017-FD9A2676F1C1}"/>
            </c:ext>
          </c:extLst>
        </c:ser>
        <c:ser>
          <c:idx val="3"/>
          <c:order val="3"/>
          <c:tx>
            <c:strRef>
              <c:f>'nx.in.40.summary'!$G$6</c:f>
              <c:strCache>
                <c:ptCount val="1"/>
                <c:pt idx="0">
                  <c:v>22x in 22 (15.1%)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'nx.in.40.summary'!$G$8:$G$16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2.0188128658666322</c:v>
                </c:pt>
                <c:pt idx="2">
                  <c:v>4.075605387388646</c:v>
                </c:pt>
                <c:pt idx="3">
                  <c:v>8.2278845922555579</c:v>
                </c:pt>
                <c:pt idx="4">
                  <c:v>16.610559273711349</c:v>
                </c:pt>
                <c:pt idx="5">
                  <c:v>33.533610771008782</c:v>
                </c:pt>
                <c:pt idx="6">
                  <c:v>67.69808486347641</c:v>
                </c:pt>
                <c:pt idx="7">
                  <c:v>136.66976471691729</c:v>
                </c:pt>
                <c:pt idx="8">
                  <c:v>275.91067938547815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35-449C-B017-FD9A2676F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3403439"/>
        <c:axId val="1343407599"/>
      </c:barChart>
      <c:catAx>
        <c:axId val="134340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9E8E2">
                  <a:alpha val="5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  <a:latin typeface="+mn-lt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7599"/>
        <c:crosses val="autoZero"/>
        <c:auto val="1"/>
        <c:lblAlgn val="ctr"/>
        <c:lblOffset val="100"/>
        <c:noMultiLvlLbl val="0"/>
      </c:catAx>
      <c:valAx>
        <c:axId val="13434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E9E8E2">
                  <a:alpha val="50000"/>
                </a:srgb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  <a:latin typeface="+mn-lt"/>
                  </a:rPr>
                  <a:t>Portfolio</a:t>
                </a:r>
                <a:r>
                  <a:rPr lang="en-US" sz="2800" b="1" baseline="0">
                    <a:solidFill>
                      <a:srgbClr val="AE6DE4"/>
                    </a:solidFill>
                    <a:latin typeface="+mn-lt"/>
                  </a:rPr>
                  <a:t> Value</a:t>
                </a:r>
                <a:endParaRPr lang="en-US" sz="2800" b="1">
                  <a:solidFill>
                    <a:srgbClr val="AE6DE4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3439"/>
        <c:crossesAt val="0"/>
        <c:crossBetween val="between"/>
      </c:valAx>
      <c:spPr>
        <a:noFill/>
        <a:ln cmpd="tri"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rgbClr val="E9E8E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  <a:alpha val="0"/>
      </a:schemeClr>
    </a:solidFill>
    <a:ln w="15875" cap="flat" cmpd="tri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rgbClr val="E9E8E2"/>
                </a:solidFill>
              </a:rPr>
              <a:t>Goals Relative to 10x in 10</a:t>
            </a:r>
          </a:p>
        </c:rich>
      </c:tx>
      <c:layout>
        <c:manualLayout>
          <c:xMode val="edge"/>
          <c:yMode val="edge"/>
          <c:x val="0.2654522946536445"/>
          <c:y val="4.0018214590646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'nx.in.40.summary'!$D$6</c:f>
              <c:strCache>
                <c:ptCount val="1"/>
                <c:pt idx="0">
                  <c:v>8x in 8 (29.7%)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'nx.in.40.summary'!$C$21:$C$29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'nx.in.40.summary'!$D$21:$D$29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1.1599285600440841</c:v>
                </c:pt>
                <c:pt idx="2">
                  <c:v>1.345434264405942</c:v>
                </c:pt>
                <c:pt idx="3">
                  <c:v>1.560607628946356</c:v>
                </c:pt>
                <c:pt idx="4">
                  <c:v>1.8101933598375588</c:v>
                </c:pt>
                <c:pt idx="5">
                  <c:v>2.0996949772777422</c:v>
                </c:pt>
                <c:pt idx="6">
                  <c:v>2.4354961715255672</c:v>
                </c:pt>
                <c:pt idx="7">
                  <c:v>2.8250015672305313</c:v>
                </c:pt>
                <c:pt idx="8">
                  <c:v>3.2767999999999899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1-4A34-96CC-E626832C654F}"/>
            </c:ext>
          </c:extLst>
        </c:ser>
        <c:ser>
          <c:idx val="1"/>
          <c:order val="1"/>
          <c:tx>
            <c:strRef>
              <c:f>'nx.in.40.summary'!$E$6</c:f>
              <c:strCache>
                <c:ptCount val="1"/>
                <c:pt idx="0">
                  <c:v>10x in 10 (25.9%)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'nx.in.40.summary'!$C$21:$C$29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'nx.in.40.summary'!$E$21:$E$29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1-4A34-96CC-E626832C654F}"/>
            </c:ext>
          </c:extLst>
        </c:ser>
        <c:ser>
          <c:idx val="2"/>
          <c:order val="2"/>
          <c:tx>
            <c:strRef>
              <c:f>'nx.in.40.summary'!$F$6</c:f>
              <c:strCache>
                <c:ptCount val="1"/>
                <c:pt idx="0">
                  <c:v>15x in 15 (19.8%)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'nx.in.40.summary'!$C$21:$C$29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'nx.in.40.summary'!$F$21:$F$29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0.77988473478927589</c:v>
                </c:pt>
                <c:pt idx="2">
                  <c:v>0.60822019955733897</c:v>
                </c:pt>
                <c:pt idx="3">
                  <c:v>0.47434164902525572</c:v>
                </c:pt>
                <c:pt idx="4">
                  <c:v>0.36993181114956919</c:v>
                </c:pt>
                <c:pt idx="5">
                  <c:v>0.28850417242849818</c:v>
                </c:pt>
                <c:pt idx="6">
                  <c:v>0.22499999999999881</c:v>
                </c:pt>
                <c:pt idx="7">
                  <c:v>0.17547406532758611</c:v>
                </c:pt>
                <c:pt idx="8">
                  <c:v>0.13684954490040052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51-4A34-96CC-E626832C654F}"/>
            </c:ext>
          </c:extLst>
        </c:ser>
        <c:ser>
          <c:idx val="3"/>
          <c:order val="3"/>
          <c:tx>
            <c:strRef>
              <c:f>'nx.in.40.summary'!$G$6</c:f>
              <c:strCache>
                <c:ptCount val="1"/>
                <c:pt idx="0">
                  <c:v>22x in 22 (15.1%)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E9E8E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'nx.in.40.summary'!$C$21:$C$29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'nx.in.40.summary'!$G$21:$G$29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0.63840468257905525</c:v>
                </c:pt>
                <c:pt idx="2">
                  <c:v>0.40756053873886439</c:v>
                </c:pt>
                <c:pt idx="3">
                  <c:v>0.26018855636533345</c:v>
                </c:pt>
                <c:pt idx="4">
                  <c:v>0.16610559273711331</c:v>
                </c:pt>
                <c:pt idx="5">
                  <c:v>0.10604258820594269</c:v>
                </c:pt>
                <c:pt idx="6">
                  <c:v>6.769808486347631E-2</c:v>
                </c:pt>
                <c:pt idx="7">
                  <c:v>4.3218774378477542E-2</c:v>
                </c:pt>
                <c:pt idx="8">
                  <c:v>2.7591067938547761E-2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51-4A34-96CC-E626832C6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343403439"/>
        <c:axId val="1343407599"/>
      </c:barChart>
      <c:catAx>
        <c:axId val="134340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9E8E2">
                  <a:alpha val="5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  <a:latin typeface="+mn-lt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7599"/>
        <c:crosses val="autoZero"/>
        <c:auto val="1"/>
        <c:lblAlgn val="ctr"/>
        <c:lblOffset val="100"/>
        <c:noMultiLvlLbl val="0"/>
      </c:catAx>
      <c:valAx>
        <c:axId val="13434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E9E8E2">
                  <a:alpha val="50000"/>
                </a:srgb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rgbClr val="AE6DE4"/>
                    </a:solidFill>
                    <a:latin typeface="+mn-lt"/>
                  </a:rPr>
                  <a:t>Ratio (10x</a:t>
                </a:r>
                <a:r>
                  <a:rPr lang="en-US" sz="2400" b="1" baseline="0">
                    <a:solidFill>
                      <a:srgbClr val="AE6DE4"/>
                    </a:solidFill>
                    <a:latin typeface="+mn-lt"/>
                  </a:rPr>
                  <a:t> in 10 = 1.0)</a:t>
                </a:r>
                <a:endParaRPr lang="en-US" sz="2400" b="1">
                  <a:solidFill>
                    <a:srgbClr val="AE6DE4"/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1.8140589569160998E-2"/>
              <c:y val="0.13405609840938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3439"/>
        <c:crossesAt val="0"/>
        <c:crossBetween val="between"/>
      </c:valAx>
      <c:spPr>
        <a:noFill/>
        <a:ln cmpd="tri"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rgbClr val="E9E8E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  <a:alpha val="0"/>
      </a:schemeClr>
    </a:solidFill>
    <a:ln w="15875" cap="flat" cmpd="tri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rgbClr val="E9E8E2"/>
                </a:solidFill>
              </a:rPr>
              <a:t>Realization</a:t>
            </a:r>
            <a:r>
              <a:rPr lang="en-US" sz="2800" b="1" baseline="0">
                <a:solidFill>
                  <a:srgbClr val="E9E8E2"/>
                </a:solidFill>
              </a:rPr>
              <a:t> of Investment Goals</a:t>
            </a:r>
            <a:endParaRPr lang="en-US" sz="2800" b="1">
              <a:solidFill>
                <a:srgbClr val="E9E8E2"/>
              </a:solidFill>
            </a:endParaRPr>
          </a:p>
        </c:rich>
      </c:tx>
      <c:layout>
        <c:manualLayout>
          <c:xMode val="edge"/>
          <c:yMode val="edge"/>
          <c:x val="0.20523874254787572"/>
          <c:y val="3.3755265289806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'nx.in.40.summary'!$D$6</c:f>
              <c:strCache>
                <c:ptCount val="1"/>
                <c:pt idx="0">
                  <c:v>8x in 8 (29.7%)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692-4C1C-B37D-7FF6F9314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E9E8E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'nx.in.40.summary'!$D$8:$D$16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3.6680161728186844</c:v>
                </c:pt>
                <c:pt idx="2">
                  <c:v>13.454342644059428</c:v>
                </c:pt>
                <c:pt idx="3">
                  <c:v>49.35074641305409</c:v>
                </c:pt>
                <c:pt idx="4">
                  <c:v>181.01933598375606</c:v>
                </c:pt>
                <c:pt idx="5">
                  <c:v>663.98185198131648</c:v>
                </c:pt>
                <c:pt idx="6">
                  <c:v>2435.4961715255708</c:v>
                </c:pt>
                <c:pt idx="7">
                  <c:v>8933.4393459937837</c:v>
                </c:pt>
                <c:pt idx="8">
                  <c:v>32767.999999999964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92-4C1C-B37D-7FF6F931469F}"/>
            </c:ext>
          </c:extLst>
        </c:ser>
        <c:ser>
          <c:idx val="1"/>
          <c:order val="1"/>
          <c:tx>
            <c:strRef>
              <c:f>'nx.in.40.summary'!$E$6</c:f>
              <c:strCache>
                <c:ptCount val="1"/>
                <c:pt idx="0">
                  <c:v>10x in 10 (25.9%)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3.2363092479793533E-3"/>
                  <c:y val="2.194092243837405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E9E8E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043743337188358E-2"/>
                      <c:h val="4.38313448735586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692-4C1C-B37D-7FF6F931469F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'nx.in.40.summary'!$E$8:$E$16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3.16227766016838</c:v>
                </c:pt>
                <c:pt idx="2">
                  <c:v>10.000000000000005</c:v>
                </c:pt>
                <c:pt idx="3">
                  <c:v>31.622776601683817</c:v>
                </c:pt>
                <c:pt idx="4">
                  <c:v>100.0000000000001</c:v>
                </c:pt>
                <c:pt idx="5">
                  <c:v>316.2277660168383</c:v>
                </c:pt>
                <c:pt idx="6">
                  <c:v>1000.0000000000015</c:v>
                </c:pt>
                <c:pt idx="7">
                  <c:v>3162.2776601683845</c:v>
                </c:pt>
                <c:pt idx="8">
                  <c:v>10000.00000000002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92-4C1C-B37D-7FF6F931469F}"/>
            </c:ext>
          </c:extLst>
        </c:ser>
        <c:ser>
          <c:idx val="2"/>
          <c:order val="2"/>
          <c:tx>
            <c:strRef>
              <c:f>'nx.in.40.summary'!$F$6</c:f>
              <c:strCache>
                <c:ptCount val="1"/>
                <c:pt idx="0">
                  <c:v>15x in 15 (19.8%)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8.0906138558961022E-3"/>
                  <c:y val="-3.375526528980623E-3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E9E8E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692-4C1C-B37D-7FF6F931469F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'nx.in.40.summary'!$F$8:$F$16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2.466212074330469</c:v>
                </c:pt>
                <c:pt idx="2">
                  <c:v>6.082201995573393</c:v>
                </c:pt>
                <c:pt idx="3">
                  <c:v>14.999999999999973</c:v>
                </c:pt>
                <c:pt idx="4">
                  <c:v>36.993181114956954</c:v>
                </c:pt>
                <c:pt idx="5">
                  <c:v>91.233029933600704</c:v>
                </c:pt>
                <c:pt idx="6">
                  <c:v>224.99999999999915</c:v>
                </c:pt>
                <c:pt idx="7">
                  <c:v>554.89771672435324</c:v>
                </c:pt>
                <c:pt idx="8">
                  <c:v>1368.4954490040079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692-4C1C-B37D-7FF6F931469F}"/>
            </c:ext>
          </c:extLst>
        </c:ser>
        <c:ser>
          <c:idx val="3"/>
          <c:order val="3"/>
          <c:tx>
            <c:strRef>
              <c:f>'nx.in.40.summary'!$G$6</c:f>
              <c:strCache>
                <c:ptCount val="1"/>
                <c:pt idx="0">
                  <c:v>22x in 22 (15.1%)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1.7799350482971425E-2"/>
                  <c:y val="-6.188393814277722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692-4C1C-B37D-7FF6F931469F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E9E8E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'nx.in.40.summary'!$C$8:$C$16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'nx.in.40.summary'!$G$8:$G$16</c:f>
              <c:numCache>
                <c:formatCode>_("$"* #,##0.00_);_("$"* \(#,##0.00\);_("$"* "-"??_);_(@_)</c:formatCode>
                <c:ptCount val="9"/>
                <c:pt idx="0">
                  <c:v>1</c:v>
                </c:pt>
                <c:pt idx="1">
                  <c:v>2.0188128658666322</c:v>
                </c:pt>
                <c:pt idx="2">
                  <c:v>4.075605387388646</c:v>
                </c:pt>
                <c:pt idx="3">
                  <c:v>8.2278845922555579</c:v>
                </c:pt>
                <c:pt idx="4">
                  <c:v>16.610559273711349</c:v>
                </c:pt>
                <c:pt idx="5">
                  <c:v>33.533610771008782</c:v>
                </c:pt>
                <c:pt idx="6">
                  <c:v>67.69808486347641</c:v>
                </c:pt>
                <c:pt idx="7">
                  <c:v>136.66976471691729</c:v>
                </c:pt>
                <c:pt idx="8">
                  <c:v>275.91067938547815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692-4C1C-B37D-7FF6F9314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403439"/>
        <c:axId val="1343407599"/>
      </c:scatterChart>
      <c:valAx>
        <c:axId val="134340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9E8E2">
                  <a:alpha val="5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  <a:latin typeface="+mn-lt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7599"/>
        <c:crosses val="autoZero"/>
        <c:crossBetween val="midCat"/>
      </c:valAx>
      <c:valAx>
        <c:axId val="13434075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E9E8E2">
                  <a:alpha val="50000"/>
                </a:srgb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rgbClr val="AE6DE4"/>
                    </a:solidFill>
                    <a:latin typeface="+mn-lt"/>
                  </a:rPr>
                  <a:t>Portfolio</a:t>
                </a:r>
                <a:r>
                  <a:rPr lang="en-US" sz="2400" b="1" baseline="0">
                    <a:solidFill>
                      <a:srgbClr val="AE6DE4"/>
                    </a:solidFill>
                    <a:latin typeface="+mn-lt"/>
                  </a:rPr>
                  <a:t> Value </a:t>
                </a:r>
                <a:r>
                  <a:rPr lang="en-US" sz="1800" b="1" baseline="0">
                    <a:solidFill>
                      <a:srgbClr val="AE6DE4"/>
                    </a:solidFill>
                    <a:latin typeface="+mn-lt"/>
                  </a:rPr>
                  <a:t>(log Scale)</a:t>
                </a:r>
                <a:endParaRPr lang="en-US" sz="1800" b="1">
                  <a:solidFill>
                    <a:srgbClr val="AE6DE4"/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2.2653718796509084E-2"/>
              <c:y val="0.10033739317920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3439"/>
        <c:crossesAt val="0"/>
        <c:crossBetween val="midCat"/>
      </c:valAx>
      <c:spPr>
        <a:noFill/>
        <a:ln cmpd="tri"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rgbClr val="E9E8E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  <a:alpha val="0"/>
      </a:schemeClr>
    </a:solidFill>
    <a:ln w="15875" cap="flat" cmpd="tri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E9E8E2"/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rgbClr val="E9E8E2"/>
                </a:solidFill>
              </a:rPr>
              <a:t>10x in 10 (Log Scale)</a:t>
            </a:r>
          </a:p>
        </c:rich>
      </c:tx>
      <c:layout>
        <c:manualLayout>
          <c:xMode val="edge"/>
          <c:yMode val="edge"/>
          <c:x val="0.52885791715060004"/>
          <c:y val="3.016758475697075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4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'10x.over.time'!$C$8:$C$107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'10x.over.time'!$D$8:$D$107</c:f>
              <c:numCache>
                <c:formatCode>_(* #,##0_);_(* \(#,##0\);_(* "-"??_);_(@_)</c:formatCode>
                <c:ptCount val="100"/>
                <c:pt idx="0">
                  <c:v>10000</c:v>
                </c:pt>
                <c:pt idx="1">
                  <c:v>12589.254117941673</c:v>
                </c:pt>
                <c:pt idx="2">
                  <c:v>15848.931924611135</c:v>
                </c:pt>
                <c:pt idx="3">
                  <c:v>19952.623149688799</c:v>
                </c:pt>
                <c:pt idx="4">
                  <c:v>25118.864315095805</c:v>
                </c:pt>
                <c:pt idx="5">
                  <c:v>31622.7766016838</c:v>
                </c:pt>
                <c:pt idx="6">
                  <c:v>39810.717055349734</c:v>
                </c:pt>
                <c:pt idx="7">
                  <c:v>50118.723362727244</c:v>
                </c:pt>
                <c:pt idx="8">
                  <c:v>63095.73444801935</c:v>
                </c:pt>
                <c:pt idx="9">
                  <c:v>79432.823472428179</c:v>
                </c:pt>
                <c:pt idx="10">
                  <c:v>100000.00000000006</c:v>
                </c:pt>
                <c:pt idx="11">
                  <c:v>125892.5411794168</c:v>
                </c:pt>
                <c:pt idx="12">
                  <c:v>158489.31924611147</c:v>
                </c:pt>
                <c:pt idx="13">
                  <c:v>199526.23149688807</c:v>
                </c:pt>
                <c:pt idx="14">
                  <c:v>251188.6431509582</c:v>
                </c:pt>
                <c:pt idx="15">
                  <c:v>316227.7660168382</c:v>
                </c:pt>
                <c:pt idx="16">
                  <c:v>398107.17055349756</c:v>
                </c:pt>
                <c:pt idx="17">
                  <c:v>501187.23362727265</c:v>
                </c:pt>
                <c:pt idx="18">
                  <c:v>630957.3444801938</c:v>
                </c:pt>
                <c:pt idx="19">
                  <c:v>794328.23472428229</c:v>
                </c:pt>
                <c:pt idx="20">
                  <c:v>1000000.000000001</c:v>
                </c:pt>
                <c:pt idx="21">
                  <c:v>1258925.4117941684</c:v>
                </c:pt>
                <c:pt idx="22">
                  <c:v>1584893.1924611151</c:v>
                </c:pt>
                <c:pt idx="23">
                  <c:v>1995262.3149688819</c:v>
                </c:pt>
                <c:pt idx="24">
                  <c:v>2511886.4315095833</c:v>
                </c:pt>
                <c:pt idx="25">
                  <c:v>3162277.6601683828</c:v>
                </c:pt>
                <c:pt idx="26">
                  <c:v>3981071.7055349778</c:v>
                </c:pt>
                <c:pt idx="27">
                  <c:v>5011872.3362727296</c:v>
                </c:pt>
                <c:pt idx="28">
                  <c:v>6309573.4448019415</c:v>
                </c:pt>
                <c:pt idx="29">
                  <c:v>7943282.3472428257</c:v>
                </c:pt>
                <c:pt idx="30">
                  <c:v>10000000.000000015</c:v>
                </c:pt>
                <c:pt idx="31">
                  <c:v>12589254.117941691</c:v>
                </c:pt>
                <c:pt idx="32">
                  <c:v>15848931.924611159</c:v>
                </c:pt>
                <c:pt idx="33">
                  <c:v>19952623.149688829</c:v>
                </c:pt>
                <c:pt idx="34">
                  <c:v>25118864.315095838</c:v>
                </c:pt>
                <c:pt idx="35">
                  <c:v>31622776.601683844</c:v>
                </c:pt>
                <c:pt idx="36">
                  <c:v>39810717.05534979</c:v>
                </c:pt>
                <c:pt idx="37">
                  <c:v>50118723.362727314</c:v>
                </c:pt>
                <c:pt idx="38">
                  <c:v>63095734.448019437</c:v>
                </c:pt>
                <c:pt idx="39">
                  <c:v>79432823.472428292</c:v>
                </c:pt>
                <c:pt idx="40">
                  <c:v>100000000.00000019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F-4A28-8BDC-DC46D157B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747584"/>
        <c:axId val="840748000"/>
      </c:scatterChart>
      <c:valAx>
        <c:axId val="840747584"/>
        <c:scaling>
          <c:orientation val="minMax"/>
          <c:max val="6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</a:rPr>
                  <a:t>Timeframe</a:t>
                </a:r>
                <a:r>
                  <a:rPr lang="en-US" sz="2800" b="1" baseline="0">
                    <a:solidFill>
                      <a:srgbClr val="AE6DE4"/>
                    </a:solidFill>
                  </a:rPr>
                  <a:t> (Years)</a:t>
                </a:r>
                <a:endParaRPr lang="en-US" sz="2800" b="1">
                  <a:solidFill>
                    <a:srgbClr val="AE6DE4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854719379589752"/>
              <c:y val="0.890583679936337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748000"/>
        <c:crosses val="autoZero"/>
        <c:crossBetween val="midCat"/>
      </c:valAx>
      <c:valAx>
        <c:axId val="840748000"/>
        <c:scaling>
          <c:logBase val="10"/>
          <c:orientation val="minMax"/>
          <c:max val="1000000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</a:rPr>
                  <a:t>Portfolio Value (Goal)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&quot;$&quot;#,##0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74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rgbClr val="E9E8E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rgbClr val="E9E8E2"/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rgbClr val="E9E8E2"/>
                </a:solidFill>
              </a:rPr>
              <a:t>40-Year Multipliers for</a:t>
            </a:r>
            <a:r>
              <a:rPr lang="en-US" sz="2800" b="1" baseline="0">
                <a:solidFill>
                  <a:srgbClr val="E9E8E2"/>
                </a:solidFill>
              </a:rPr>
              <a:t> Nx in N Objectives</a:t>
            </a:r>
            <a:endParaRPr lang="en-US" sz="2800" b="1">
              <a:solidFill>
                <a:srgbClr val="E9E8E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rgbClr val="E9E8E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E9E8E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'nx.in.x.alternatives'!$C$7:$C$100000</c:f>
              <c:numCache>
                <c:formatCode>General</c:formatCode>
                <c:ptCount val="9999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</c:numCache>
            </c:numRef>
          </c:xVal>
          <c:yVal>
            <c:numRef>
              <c:f>'nx.in.x.alternatives'!$H$7:$H$100000</c:f>
              <c:numCache>
                <c:formatCode>_(* #,##0_);_(* \(#,##0\);_(* "-"??_);_(@_)</c:formatCode>
                <c:ptCount val="99994"/>
                <c:pt idx="0">
                  <c:v>390625.00000000081</c:v>
                </c:pt>
                <c:pt idx="1">
                  <c:v>154054.7177244277</c:v>
                </c:pt>
                <c:pt idx="2">
                  <c:v>67473.254319108892</c:v>
                </c:pt>
                <c:pt idx="3">
                  <c:v>32767.999999999964</c:v>
                </c:pt>
                <c:pt idx="4">
                  <c:v>17421.190097222549</c:v>
                </c:pt>
                <c:pt idx="5">
                  <c:v>10000.00000000002</c:v>
                </c:pt>
                <c:pt idx="6">
                  <c:v>6121.8472843716627</c:v>
                </c:pt>
                <c:pt idx="7">
                  <c:v>3956.1324222643234</c:v>
                </c:pt>
                <c:pt idx="8">
                  <c:v>2676.1965537030133</c:v>
                </c:pt>
                <c:pt idx="9">
                  <c:v>1882.138292098387</c:v>
                </c:pt>
                <c:pt idx="10">
                  <c:v>1368.4954490040079</c:v>
                </c:pt>
                <c:pt idx="11">
                  <c:v>1023.9999999999977</c:v>
                </c:pt>
                <c:pt idx="12">
                  <c:v>785.5501803326033</c:v>
                </c:pt>
                <c:pt idx="13">
                  <c:v>615.87766675452553</c:v>
                </c:pt>
                <c:pt idx="14">
                  <c:v>492.16740048398793</c:v>
                </c:pt>
                <c:pt idx="15">
                  <c:v>399.99999999999807</c:v>
                </c:pt>
                <c:pt idx="16">
                  <c:v>329.9992420264773</c:v>
                </c:pt>
                <c:pt idx="17">
                  <c:v>275.91067938547815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9A-4B84-B4FA-2FEF23067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403439"/>
        <c:axId val="1343407599"/>
      </c:scatterChart>
      <c:valAx>
        <c:axId val="13434034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rgbClr val="AE6DE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  <a:latin typeface="+mn-lt"/>
                  </a:rPr>
                  <a:t>Objective (Nx in 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rgbClr val="AE6DE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7599"/>
        <c:crosses val="autoZero"/>
        <c:crossBetween val="midCat"/>
      </c:valAx>
      <c:valAx>
        <c:axId val="13434075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rgbClr val="AE6DE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  <a:latin typeface="+mn-lt"/>
                  </a:rPr>
                  <a:t>40-Year</a:t>
                </a:r>
                <a:r>
                  <a:rPr lang="en-US" sz="2800" b="1" baseline="0">
                    <a:solidFill>
                      <a:srgbClr val="AE6DE4"/>
                    </a:solidFill>
                    <a:latin typeface="+mn-lt"/>
                  </a:rPr>
                  <a:t> Multiplier</a:t>
                </a:r>
                <a:endParaRPr lang="en-US" sz="2800" b="1">
                  <a:solidFill>
                    <a:srgbClr val="AE6DE4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rgbClr val="AE6DE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3439"/>
        <c:crossesAt val="0"/>
        <c:crossBetween val="midCat"/>
      </c:valAx>
      <c:spPr>
        <a:noFill/>
        <a:ln cmpd="tri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15875" cap="flat" cmpd="tri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rgbClr val="E9E8E2"/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rgbClr val="E9E8E2"/>
                </a:solidFill>
              </a:rPr>
              <a:t>Nx in N</a:t>
            </a:r>
            <a:r>
              <a:rPr lang="en-US" sz="2800" b="1" baseline="0">
                <a:solidFill>
                  <a:srgbClr val="E9E8E2"/>
                </a:solidFill>
              </a:rPr>
              <a:t> Alternative Goals</a:t>
            </a:r>
            <a:endParaRPr lang="en-US" sz="2800" b="1">
              <a:solidFill>
                <a:srgbClr val="E9E8E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rgbClr val="E9E8E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Time</c:v>
          </c:tx>
          <c:spPr>
            <a:ln w="38100" cap="rnd">
              <a:solidFill>
                <a:srgbClr val="E9E8E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'nx.in.x.alternatives'!$C$7:$C$100000</c:f>
              <c:numCache>
                <c:formatCode>General</c:formatCode>
                <c:ptCount val="9999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</c:numCache>
            </c:numRef>
          </c:xVal>
          <c:yVal>
            <c:numRef>
              <c:f>'nx.in.x.alternatives'!$F$7:$F$100000</c:f>
              <c:numCache>
                <c:formatCode>0.0%</c:formatCode>
                <c:ptCount val="99994"/>
                <c:pt idx="0">
                  <c:v>0.3797296614612149</c:v>
                </c:pt>
                <c:pt idx="1">
                  <c:v>0.34800615459727768</c:v>
                </c:pt>
                <c:pt idx="2">
                  <c:v>0.32046924775612373</c:v>
                </c:pt>
                <c:pt idx="3">
                  <c:v>0.29683955465100964</c:v>
                </c:pt>
                <c:pt idx="4">
                  <c:v>0.27651800700924167</c:v>
                </c:pt>
                <c:pt idx="5">
                  <c:v>0.25892541179416728</c:v>
                </c:pt>
                <c:pt idx="6">
                  <c:v>0.24357522791237085</c:v>
                </c:pt>
                <c:pt idx="7">
                  <c:v>0.2300755055779713</c:v>
                </c:pt>
                <c:pt idx="8">
                  <c:v>0.21811404356076824</c:v>
                </c:pt>
                <c:pt idx="9">
                  <c:v>0.20744202741841122</c:v>
                </c:pt>
                <c:pt idx="10">
                  <c:v>0.19786005826963615</c:v>
                </c:pt>
                <c:pt idx="11">
                  <c:v>0.18920711500272103</c:v>
                </c:pt>
                <c:pt idx="12">
                  <c:v>0.1813520746255457</c:v>
                </c:pt>
                <c:pt idx="13">
                  <c:v>0.17418725309966154</c:v>
                </c:pt>
                <c:pt idx="14">
                  <c:v>0.16762348369610769</c:v>
                </c:pt>
                <c:pt idx="15">
                  <c:v>0.16158634964154217</c:v>
                </c:pt>
                <c:pt idx="16">
                  <c:v>0.15601328100080325</c:v>
                </c:pt>
                <c:pt idx="17">
                  <c:v>0.15085130035827876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94-4007-9A51-9E82A0C75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403439"/>
        <c:axId val="1343407599"/>
      </c:scatterChart>
      <c:valAx>
        <c:axId val="13434034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rgbClr val="AE6DE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  <a:latin typeface="+mn-lt"/>
                  </a:rPr>
                  <a:t>Timeframe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rgbClr val="AE6DE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7599"/>
        <c:crosses val="autoZero"/>
        <c:crossBetween val="midCat"/>
      </c:valAx>
      <c:valAx>
        <c:axId val="13434075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  <a:latin typeface="+mn-lt"/>
                  </a:rPr>
                  <a:t>Return</a:t>
                </a:r>
                <a:r>
                  <a:rPr lang="en-US" sz="2800" b="1" baseline="0">
                    <a:solidFill>
                      <a:srgbClr val="AE6DE4"/>
                    </a:solidFill>
                    <a:latin typeface="+mn-lt"/>
                  </a:rPr>
                  <a:t> Objective</a:t>
                </a:r>
                <a:endParaRPr lang="en-US" sz="2800" b="1">
                  <a:solidFill>
                    <a:srgbClr val="AE6DE4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03439"/>
        <c:crossesAt val="0"/>
        <c:crossBetween val="midCat"/>
      </c:valAx>
      <c:spPr>
        <a:noFill/>
        <a:ln cmpd="tri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15875" cap="flat" cmpd="tri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19050</xdr:rowOff>
    </xdr:from>
    <xdr:to>
      <xdr:col>5</xdr:col>
      <xdr:colOff>752475</xdr:colOff>
      <xdr:row>1</xdr:row>
      <xdr:rowOff>238125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AA2CABFB-9D5B-436D-A23B-096B4990586D}"/>
            </a:ext>
          </a:extLst>
        </xdr:cNvPr>
        <xdr:cNvSpPr/>
      </xdr:nvSpPr>
      <xdr:spPr>
        <a:xfrm>
          <a:off x="4019550" y="114300"/>
          <a:ext cx="561975" cy="219075"/>
        </a:xfrm>
        <a:prstGeom prst="leftArrow">
          <a:avLst/>
        </a:prstGeom>
        <a:solidFill>
          <a:srgbClr val="7030A0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723900</xdr:colOff>
      <xdr:row>3</xdr:row>
      <xdr:rowOff>57150</xdr:rowOff>
    </xdr:from>
    <xdr:to>
      <xdr:col>3</xdr:col>
      <xdr:colOff>371475</xdr:colOff>
      <xdr:row>3</xdr:row>
      <xdr:rowOff>276225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89278E25-A361-4354-8D93-956D7E2572E8}"/>
            </a:ext>
          </a:extLst>
        </xdr:cNvPr>
        <xdr:cNvSpPr/>
      </xdr:nvSpPr>
      <xdr:spPr>
        <a:xfrm rot="10800000">
          <a:off x="1409700" y="723900"/>
          <a:ext cx="561975" cy="2190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19</xdr:row>
      <xdr:rowOff>200025</xdr:rowOff>
    </xdr:from>
    <xdr:to>
      <xdr:col>19</xdr:col>
      <xdr:colOff>447675</xdr:colOff>
      <xdr:row>33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66E4A-E03B-4989-A43B-416D85631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723900</xdr:colOff>
      <xdr:row>3</xdr:row>
      <xdr:rowOff>57150</xdr:rowOff>
    </xdr:from>
    <xdr:to>
      <xdr:col>3</xdr:col>
      <xdr:colOff>371475</xdr:colOff>
      <xdr:row>3</xdr:row>
      <xdr:rowOff>276225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9BAE6AF8-6CC4-44B3-B326-CC45921269D4}"/>
            </a:ext>
          </a:extLst>
        </xdr:cNvPr>
        <xdr:cNvSpPr/>
      </xdr:nvSpPr>
      <xdr:spPr>
        <a:xfrm rot="10800000">
          <a:off x="1409700" y="723900"/>
          <a:ext cx="561975" cy="2190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35</xdr:row>
      <xdr:rowOff>114299</xdr:rowOff>
    </xdr:from>
    <xdr:to>
      <xdr:col>19</xdr:col>
      <xdr:colOff>485775</xdr:colOff>
      <xdr:row>49</xdr:row>
      <xdr:rowOff>66674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72515A-B9D7-4BF7-97FB-11018C649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51</xdr:row>
      <xdr:rowOff>285749</xdr:rowOff>
    </xdr:from>
    <xdr:to>
      <xdr:col>19</xdr:col>
      <xdr:colOff>495300</xdr:colOff>
      <xdr:row>65</xdr:row>
      <xdr:rowOff>238124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AA8FFC-28DF-498E-BD81-5BA7A2A9D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171450</xdr:colOff>
      <xdr:row>2</xdr:row>
      <xdr:rowOff>104775</xdr:rowOff>
    </xdr:from>
    <xdr:to>
      <xdr:col>19</xdr:col>
      <xdr:colOff>85726</xdr:colOff>
      <xdr:row>15</xdr:row>
      <xdr:rowOff>66676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C2FE58-CBF3-4141-90B4-BD85EC91A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57150</xdr:rowOff>
    </xdr:from>
    <xdr:to>
      <xdr:col>7</xdr:col>
      <xdr:colOff>66675</xdr:colOff>
      <xdr:row>1</xdr:row>
      <xdr:rowOff>276225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3EC0D602-B20E-415D-89F2-EC5BED5B9B4E}"/>
            </a:ext>
          </a:extLst>
        </xdr:cNvPr>
        <xdr:cNvSpPr/>
      </xdr:nvSpPr>
      <xdr:spPr>
        <a:xfrm>
          <a:off x="3905250" y="152400"/>
          <a:ext cx="561975" cy="2190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3</xdr:row>
      <xdr:rowOff>38100</xdr:rowOff>
    </xdr:from>
    <xdr:to>
      <xdr:col>5</xdr:col>
      <xdr:colOff>695325</xdr:colOff>
      <xdr:row>3</xdr:row>
      <xdr:rowOff>257175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DD3AE11-9065-4D4D-B56C-6C6F01BCA9F4}"/>
            </a:ext>
          </a:extLst>
        </xdr:cNvPr>
        <xdr:cNvSpPr/>
      </xdr:nvSpPr>
      <xdr:spPr>
        <a:xfrm>
          <a:off x="3181350" y="609600"/>
          <a:ext cx="476250" cy="152400"/>
        </a:xfrm>
        <a:prstGeom prst="leftArrow">
          <a:avLst/>
        </a:prstGeom>
        <a:solidFill>
          <a:srgbClr val="7030A0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4</xdr:row>
      <xdr:rowOff>85724</xdr:rowOff>
    </xdr:from>
    <xdr:to>
      <xdr:col>16</xdr:col>
      <xdr:colOff>295275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3E86D7-69A7-4076-BF2F-FC1CED2A9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604836</xdr:colOff>
      <xdr:row>18</xdr:row>
      <xdr:rowOff>133349</xdr:rowOff>
    </xdr:from>
    <xdr:to>
      <xdr:col>21</xdr:col>
      <xdr:colOff>104775</xdr:colOff>
      <xdr:row>38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057CD-4B65-4188-A464-1AC012984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2</xdr:row>
      <xdr:rowOff>28573</xdr:rowOff>
    </xdr:from>
    <xdr:to>
      <xdr:col>19</xdr:col>
      <xdr:colOff>409575</xdr:colOff>
      <xdr:row>17</xdr:row>
      <xdr:rowOff>209549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5EF242-67E7-4959-B3E0-F6DFBBD98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2</xdr:row>
      <xdr:rowOff>9525</xdr:rowOff>
    </xdr:from>
    <xdr:to>
      <xdr:col>8</xdr:col>
      <xdr:colOff>704850</xdr:colOff>
      <xdr:row>2</xdr:row>
      <xdr:rowOff>228600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03F389A-CD1A-4964-BB82-B5F7A42E4530}"/>
            </a:ext>
          </a:extLst>
        </xdr:cNvPr>
        <xdr:cNvSpPr>
          <a:spLocks noChangeAspect="1"/>
        </xdr:cNvSpPr>
      </xdr:nvSpPr>
      <xdr:spPr>
        <a:xfrm>
          <a:off x="4848225" y="390525"/>
          <a:ext cx="561975" cy="2190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104775</xdr:colOff>
      <xdr:row>10</xdr:row>
      <xdr:rowOff>0</xdr:rowOff>
    </xdr:from>
    <xdr:to>
      <xdr:col>8</xdr:col>
      <xdr:colOff>666750</xdr:colOff>
      <xdr:row>10</xdr:row>
      <xdr:rowOff>219075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096F1419-4DD4-4921-A4CF-1DE0D321F0BA}"/>
            </a:ext>
          </a:extLst>
        </xdr:cNvPr>
        <xdr:cNvSpPr>
          <a:spLocks noChangeAspect="1"/>
        </xdr:cNvSpPr>
      </xdr:nvSpPr>
      <xdr:spPr>
        <a:xfrm>
          <a:off x="4810125" y="2724150"/>
          <a:ext cx="561975" cy="2190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104775</xdr:colOff>
      <xdr:row>21</xdr:row>
      <xdr:rowOff>0</xdr:rowOff>
    </xdr:from>
    <xdr:to>
      <xdr:col>8</xdr:col>
      <xdr:colOff>666750</xdr:colOff>
      <xdr:row>21</xdr:row>
      <xdr:rowOff>219075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1471D219-E6E6-4542-B668-025E682C783B}"/>
            </a:ext>
          </a:extLst>
        </xdr:cNvPr>
        <xdr:cNvSpPr>
          <a:spLocks noChangeAspect="1"/>
        </xdr:cNvSpPr>
      </xdr:nvSpPr>
      <xdr:spPr>
        <a:xfrm>
          <a:off x="6019800" y="2724150"/>
          <a:ext cx="561975" cy="2190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36</xdr:row>
      <xdr:rowOff>19050</xdr:rowOff>
    </xdr:from>
    <xdr:to>
      <xdr:col>10</xdr:col>
      <xdr:colOff>47625</xdr:colOff>
      <xdr:row>36</xdr:row>
      <xdr:rowOff>238125</xdr:rowOff>
    </xdr:to>
    <xdr:sp macro="" textlink="">
      <xdr:nvSpPr>
        <xdr:cNvPr id="8" name="Arrow: Left 7">
          <a:extLst>
            <a:ext uri="{FF2B5EF4-FFF2-40B4-BE49-F238E27FC236}">
              <a16:creationId xmlns:a16="http://schemas.microsoft.com/office/drawing/2014/main" id="{6AC211F3-21F5-4E83-A7F2-FA663A9F9088}"/>
            </a:ext>
          </a:extLst>
        </xdr:cNvPr>
        <xdr:cNvSpPr>
          <a:spLocks noChangeAspect="1"/>
        </xdr:cNvSpPr>
      </xdr:nvSpPr>
      <xdr:spPr>
        <a:xfrm>
          <a:off x="7258050" y="10163175"/>
          <a:ext cx="561975" cy="2190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n.wikipedia.org/wiki/List_of_public_corporations_by_market_capitalization" TargetMode="Externa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rkshirehathaway.com/letters/1995.html" TargetMode="External"/><Relationship Id="rId1" Type="http://schemas.openxmlformats.org/officeDocument/2006/relationships/hyperlink" Target="https://berkshirehathaway.com/letters/2020ltr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DEF0-842E-4453-9CA5-58549BF543E8}">
  <sheetPr>
    <tabColor theme="9" tint="0.59999389629810485"/>
  </sheetPr>
  <dimension ref="A1:R295"/>
  <sheetViews>
    <sheetView showGridLines="0" tabSelected="1" zoomScaleNormal="100" workbookViewId="0">
      <selection activeCell="D5" sqref="D5"/>
    </sheetView>
  </sheetViews>
  <sheetFormatPr defaultRowHeight="22.5" x14ac:dyDescent="0.45"/>
  <cols>
    <col min="1" max="1" width="9.140625" style="34"/>
    <col min="2" max="2" width="1.140625" style="34" customWidth="1"/>
    <col min="3" max="3" width="13.7109375" style="34" customWidth="1"/>
    <col min="4" max="7" width="16.7109375" style="34" customWidth="1"/>
    <col min="8" max="8" width="15.7109375" style="34" customWidth="1"/>
    <col min="9" max="17" width="9.140625" style="34"/>
    <col min="18" max="18" width="11.85546875" style="34" bestFit="1" customWidth="1"/>
    <col min="19" max="16384" width="9.140625" style="34"/>
  </cols>
  <sheetData>
    <row r="1" spans="1:8" ht="7.5" customHeight="1" x14ac:dyDescent="0.45"/>
    <row r="2" spans="1:8" x14ac:dyDescent="0.45">
      <c r="C2" s="41" t="s">
        <v>0</v>
      </c>
      <c r="D2" s="35"/>
      <c r="E2" s="46">
        <v>1</v>
      </c>
      <c r="F2" s="35"/>
      <c r="G2" s="35"/>
    </row>
    <row r="3" spans="1:8" x14ac:dyDescent="0.45">
      <c r="C3" s="35"/>
      <c r="D3" s="35"/>
      <c r="E3" s="35"/>
      <c r="F3" s="35"/>
      <c r="G3" s="35"/>
      <c r="H3" s="35"/>
    </row>
    <row r="4" spans="1:8" x14ac:dyDescent="0.45">
      <c r="A4" s="55" t="s">
        <v>81</v>
      </c>
      <c r="C4" s="54"/>
      <c r="D4" s="53">
        <f>MAX(D8:D1048576)</f>
        <v>32767.999999999964</v>
      </c>
      <c r="E4" s="53">
        <f>MAX(E8:E1048576)</f>
        <v>10000.00000000002</v>
      </c>
      <c r="F4" s="53">
        <f>MAX(F8:F1048576)</f>
        <v>1368.4954490040079</v>
      </c>
      <c r="G4" s="53">
        <f>MAX(G8:G1048576)</f>
        <v>275.91067938547815</v>
      </c>
      <c r="H4" s="35"/>
    </row>
    <row r="5" spans="1:8" x14ac:dyDescent="0.45">
      <c r="C5" s="35"/>
      <c r="D5" s="156">
        <v>8</v>
      </c>
      <c r="E5" s="156">
        <v>10</v>
      </c>
      <c r="F5" s="156">
        <v>15</v>
      </c>
      <c r="G5" s="156">
        <v>22</v>
      </c>
      <c r="H5" s="35"/>
    </row>
    <row r="6" spans="1:8" ht="24.75" x14ac:dyDescent="0.6">
      <c r="C6" s="35"/>
      <c r="D6" s="82" t="str">
        <f>_xlfn.CONCAT(D5,"x in ",D5," (",TEXT(D7,"00.0%"),")")</f>
        <v>8x in 8 (29.7%)</v>
      </c>
      <c r="E6" s="82" t="str">
        <f>_xlfn.CONCAT(E5,"x in ",E5," (",TEXT(E7,"00.0%"),")")</f>
        <v>10x in 10 (25.9%)</v>
      </c>
      <c r="F6" s="82" t="str">
        <f>_xlfn.CONCAT(F5,"x in ",F5," (",TEXT(F7,"00.0%"),")")</f>
        <v>15x in 15 (19.8%)</v>
      </c>
      <c r="G6" s="82" t="str">
        <f>_xlfn.CONCAT(G5,"x in ",G5," (",TEXT(G7,"00.0%"),")")</f>
        <v>22x in 22 (15.1%)</v>
      </c>
      <c r="H6" s="48"/>
    </row>
    <row r="7" spans="1:8" s="37" customFormat="1" x14ac:dyDescent="0.55000000000000004">
      <c r="A7" s="52" t="s">
        <v>88</v>
      </c>
      <c r="C7" s="52">
        <v>1</v>
      </c>
      <c r="D7" s="49">
        <f>D$5^(1/D$5)-1</f>
        <v>0.29683955465100964</v>
      </c>
      <c r="E7" s="49">
        <f>E$5^(1/E$5)-1</f>
        <v>0.25892541179416728</v>
      </c>
      <c r="F7" s="49">
        <f>F$5^(1/F$5)-1</f>
        <v>0.19786005826963615</v>
      </c>
      <c r="G7" s="49">
        <f>G$5^(1/G$5)-1</f>
        <v>0.15085130035827876</v>
      </c>
      <c r="H7" s="36"/>
    </row>
    <row r="8" spans="1:8" x14ac:dyDescent="0.45">
      <c r="C8" s="50" cm="1">
        <f t="array" ref="C8:C48">_xlfn.SEQUENCE(40/C7+1,,0,C7)</f>
        <v>0</v>
      </c>
      <c r="D8" s="80" cm="1">
        <f t="array" ref="D8:D48">$E$2*(1+D7)^_xlfn.ANCHORARRAY($C8)</f>
        <v>1</v>
      </c>
      <c r="E8" s="80" cm="1">
        <f t="array" ref="E8:E48">$E$2*(1+E7)^_xlfn.ANCHORARRAY($C8)</f>
        <v>1</v>
      </c>
      <c r="F8" s="80" cm="1">
        <f t="array" ref="F8:F48">$E$2*(1+F7)^_xlfn.ANCHORARRAY($C8)</f>
        <v>1</v>
      </c>
      <c r="G8" s="80" cm="1">
        <f t="array" ref="G8:G48">$E$2*(1+G7)^_xlfn.ANCHORARRAY($C8)</f>
        <v>1</v>
      </c>
      <c r="H8" s="35"/>
    </row>
    <row r="9" spans="1:8" ht="27.75" customHeight="1" x14ac:dyDescent="0.45">
      <c r="C9" s="50">
        <v>1</v>
      </c>
      <c r="D9" s="80">
        <v>1.2968395546510096</v>
      </c>
      <c r="E9" s="80">
        <v>1.2589254117941673</v>
      </c>
      <c r="F9" s="80">
        <v>1.1978600582696362</v>
      </c>
      <c r="G9" s="80">
        <v>1.1508513003582788</v>
      </c>
      <c r="H9" s="35"/>
    </row>
    <row r="10" spans="1:8" x14ac:dyDescent="0.45">
      <c r="C10" s="50">
        <v>2</v>
      </c>
      <c r="D10" s="80">
        <v>1.681792830507429</v>
      </c>
      <c r="E10" s="80">
        <v>1.5848931924611136</v>
      </c>
      <c r="F10" s="80">
        <v>1.4348687191977361</v>
      </c>
      <c r="G10" s="80">
        <v>1.3244587155363412</v>
      </c>
      <c r="H10" s="35"/>
    </row>
    <row r="11" spans="1:8" x14ac:dyDescent="0.45">
      <c r="C11" s="50">
        <v>3</v>
      </c>
      <c r="D11" s="80">
        <v>2.1810154653305154</v>
      </c>
      <c r="E11" s="80">
        <v>1.99526231496888</v>
      </c>
      <c r="F11" s="80">
        <v>1.7187719275874782</v>
      </c>
      <c r="G11" s="80">
        <v>1.5242550350458539</v>
      </c>
      <c r="H11" s="35"/>
    </row>
    <row r="12" spans="1:8" x14ac:dyDescent="0.45">
      <c r="C12" s="50">
        <v>4</v>
      </c>
      <c r="D12" s="80">
        <v>2.8284271247461898</v>
      </c>
      <c r="E12" s="80">
        <v>2.5118864315095806</v>
      </c>
      <c r="F12" s="80">
        <v>2.0588482413321514</v>
      </c>
      <c r="G12" s="80">
        <v>1.7541908891601747</v>
      </c>
      <c r="H12" s="35"/>
    </row>
    <row r="13" spans="1:8" x14ac:dyDescent="0.45">
      <c r="C13" s="50">
        <v>5</v>
      </c>
      <c r="D13" s="80">
        <v>3.6680161728186844</v>
      </c>
      <c r="E13" s="80">
        <v>3.16227766016838</v>
      </c>
      <c r="F13" s="80">
        <v>2.466212074330469</v>
      </c>
      <c r="G13" s="80">
        <v>2.0188128658666322</v>
      </c>
      <c r="H13" s="35"/>
    </row>
    <row r="14" spans="1:8" x14ac:dyDescent="0.45">
      <c r="C14" s="50">
        <v>6</v>
      </c>
      <c r="D14" s="80">
        <v>4.7568284600108832</v>
      </c>
      <c r="E14" s="80">
        <v>3.9810717055349736</v>
      </c>
      <c r="F14" s="80">
        <v>2.9541769390627755</v>
      </c>
      <c r="G14" s="80">
        <v>2.3233534118626373</v>
      </c>
      <c r="H14" s="35"/>
    </row>
    <row r="15" spans="1:8" x14ac:dyDescent="0.45">
      <c r="C15" s="50">
        <v>7</v>
      </c>
      <c r="D15" s="80">
        <v>6.168843301631763</v>
      </c>
      <c r="E15" s="80">
        <v>5.0118723362727247</v>
      </c>
      <c r="F15" s="80">
        <v>3.5386905603645515</v>
      </c>
      <c r="G15" s="80">
        <v>2.6738342952339598</v>
      </c>
      <c r="H15" s="35"/>
    </row>
    <row r="16" spans="1:8" x14ac:dyDescent="0.45">
      <c r="C16" s="50">
        <v>8</v>
      </c>
      <c r="D16" s="80">
        <v>7.9999999999999982</v>
      </c>
      <c r="E16" s="80">
        <v>6.3095734448019352</v>
      </c>
      <c r="F16" s="80">
        <v>4.2388560808364923</v>
      </c>
      <c r="G16" s="80">
        <v>3.0771856756125646</v>
      </c>
      <c r="H16" s="35"/>
    </row>
    <row r="17" spans="3:18" x14ac:dyDescent="0.45">
      <c r="C17" s="50">
        <v>9</v>
      </c>
      <c r="D17" s="80">
        <v>10.374716437208075</v>
      </c>
      <c r="E17" s="80">
        <v>7.9432823472428185</v>
      </c>
      <c r="F17" s="80">
        <v>5.0775563919874021</v>
      </c>
      <c r="G17" s="80">
        <v>3.5413831362225885</v>
      </c>
      <c r="H17" s="35"/>
      <c r="R17" s="38"/>
    </row>
    <row r="18" spans="3:18" x14ac:dyDescent="0.45">
      <c r="C18" s="50">
        <v>10</v>
      </c>
      <c r="D18" s="80">
        <v>13.454342644059428</v>
      </c>
      <c r="E18" s="80">
        <v>10.000000000000005</v>
      </c>
      <c r="F18" s="80">
        <v>6.082201995573393</v>
      </c>
      <c r="G18" s="80">
        <v>4.075605387388646</v>
      </c>
      <c r="H18" s="35"/>
    </row>
    <row r="19" spans="3:18" x14ac:dyDescent="0.45">
      <c r="C19" s="50">
        <v>11</v>
      </c>
      <c r="D19" s="80">
        <v>17.448123722644119</v>
      </c>
      <c r="E19" s="80">
        <v>12.58925411794168</v>
      </c>
      <c r="F19" s="80">
        <v>7.2856268368252417</v>
      </c>
      <c r="G19" s="80">
        <v>4.6904157598234297</v>
      </c>
    </row>
    <row r="20" spans="3:18" x14ac:dyDescent="0.45">
      <c r="C20" s="50">
        <v>12</v>
      </c>
      <c r="D20" s="80">
        <v>22.627416997969515</v>
      </c>
      <c r="E20" s="80">
        <v>15.848931924611145</v>
      </c>
      <c r="F20" s="80">
        <v>8.7271613872903089</v>
      </c>
      <c r="G20" s="80">
        <v>5.3979710764137581</v>
      </c>
    </row>
    <row r="21" spans="3:18" x14ac:dyDescent="0.45">
      <c r="C21" s="50">
        <v>13</v>
      </c>
      <c r="D21" s="80">
        <v>29.344129382549468</v>
      </c>
      <c r="E21" s="80">
        <v>19.952623149688808</v>
      </c>
      <c r="F21" s="80">
        <v>10.453918047908088</v>
      </c>
      <c r="G21" s="80">
        <v>6.2122620325871507</v>
      </c>
      <c r="J21" s="83"/>
    </row>
    <row r="22" spans="3:18" x14ac:dyDescent="0.45">
      <c r="C22" s="50">
        <v>14</v>
      </c>
      <c r="D22" s="80">
        <v>38.054627680087059</v>
      </c>
      <c r="E22" s="80">
        <v>25.11886431509582</v>
      </c>
      <c r="F22" s="80">
        <v>12.522330882013181</v>
      </c>
      <c r="G22" s="80">
        <v>7.1493898383692871</v>
      </c>
    </row>
    <row r="23" spans="3:18" x14ac:dyDescent="0.45">
      <c r="C23" s="50">
        <v>15</v>
      </c>
      <c r="D23" s="80">
        <v>49.35074641305409</v>
      </c>
      <c r="E23" s="80">
        <v>31.622776601683817</v>
      </c>
      <c r="F23" s="80">
        <v>14.999999999999973</v>
      </c>
      <c r="G23" s="80">
        <v>8.2278845922555579</v>
      </c>
    </row>
    <row r="24" spans="3:18" x14ac:dyDescent="0.45">
      <c r="C24" s="50">
        <v>16</v>
      </c>
      <c r="D24" s="80">
        <v>63.999999999999972</v>
      </c>
      <c r="E24" s="80">
        <v>39.810717055349755</v>
      </c>
      <c r="F24" s="80">
        <v>17.967900874044506</v>
      </c>
      <c r="G24" s="80">
        <v>9.469071682195155</v>
      </c>
    </row>
    <row r="25" spans="3:18" x14ac:dyDescent="0.45">
      <c r="C25" s="50">
        <v>17</v>
      </c>
      <c r="D25" s="80">
        <v>82.997731497664574</v>
      </c>
      <c r="E25" s="80">
        <v>50.118723362727266</v>
      </c>
      <c r="F25" s="80">
        <v>21.523030787966</v>
      </c>
      <c r="G25" s="80">
        <v>10.897493458640048</v>
      </c>
    </row>
    <row r="26" spans="3:18" x14ac:dyDescent="0.45">
      <c r="C26" s="50">
        <v>18</v>
      </c>
      <c r="D26" s="80">
        <v>107.63474115247541</v>
      </c>
      <c r="E26" s="80">
        <v>63.095734448019378</v>
      </c>
      <c r="F26" s="80">
        <v>25.781578913812123</v>
      </c>
      <c r="G26" s="80">
        <v>12.541394517521736</v>
      </c>
    </row>
    <row r="27" spans="3:18" x14ac:dyDescent="0.45">
      <c r="C27" s="50">
        <v>19</v>
      </c>
      <c r="D27" s="80">
        <v>139.58498978115293</v>
      </c>
      <c r="E27" s="80">
        <v>79.432823472428225</v>
      </c>
      <c r="F27" s="80">
        <v>30.882723619982212</v>
      </c>
      <c r="G27" s="80">
        <v>14.433280188796079</v>
      </c>
    </row>
    <row r="28" spans="3:18" x14ac:dyDescent="0.45">
      <c r="C28" s="50">
        <v>20</v>
      </c>
      <c r="D28" s="80">
        <v>181.01933598375606</v>
      </c>
      <c r="E28" s="80">
        <v>100.0000000000001</v>
      </c>
      <c r="F28" s="80">
        <v>36.993181114956954</v>
      </c>
      <c r="G28" s="80">
        <v>16.610559273711349</v>
      </c>
    </row>
    <row r="29" spans="3:18" x14ac:dyDescent="0.45">
      <c r="C29" s="50">
        <v>21</v>
      </c>
      <c r="D29" s="80">
        <v>234.75303506039569</v>
      </c>
      <c r="E29" s="80">
        <v>125.89254117941684</v>
      </c>
      <c r="F29" s="80">
        <v>44.312654085941546</v>
      </c>
      <c r="G29" s="80">
        <v>19.116283739828972</v>
      </c>
    </row>
    <row r="30" spans="3:18" x14ac:dyDescent="0.45">
      <c r="C30" s="50">
        <v>22</v>
      </c>
      <c r="D30" s="80">
        <v>304.43702144069641</v>
      </c>
      <c r="E30" s="80">
        <v>158.48931924611151</v>
      </c>
      <c r="F30" s="80">
        <v>53.080358405468168</v>
      </c>
      <c r="G30" s="80">
        <v>21.999999999999996</v>
      </c>
    </row>
    <row r="31" spans="3:18" x14ac:dyDescent="0.45">
      <c r="C31" s="50">
        <v>23</v>
      </c>
      <c r="D31" s="80">
        <v>394.80597130443266</v>
      </c>
      <c r="E31" s="80">
        <v>199.52623149688819</v>
      </c>
      <c r="F31" s="80">
        <v>63.582841212547272</v>
      </c>
      <c r="G31" s="80">
        <v>25.318728607882129</v>
      </c>
    </row>
    <row r="32" spans="3:18" x14ac:dyDescent="0.45">
      <c r="C32" s="50">
        <v>24</v>
      </c>
      <c r="D32" s="80">
        <v>511.99999999999966</v>
      </c>
      <c r="E32" s="80">
        <v>251.18864315095831</v>
      </c>
      <c r="F32" s="80">
        <v>76.163345879810876</v>
      </c>
      <c r="G32" s="80">
        <v>29.138091741799503</v>
      </c>
    </row>
    <row r="33" spans="3:7" x14ac:dyDescent="0.45">
      <c r="C33" s="50">
        <v>25</v>
      </c>
      <c r="D33" s="80">
        <v>663.98185198131648</v>
      </c>
      <c r="E33" s="80">
        <v>316.2277660168383</v>
      </c>
      <c r="F33" s="80">
        <v>91.233029933600704</v>
      </c>
      <c r="G33" s="80">
        <v>33.533610771008782</v>
      </c>
    </row>
    <row r="34" spans="3:7" x14ac:dyDescent="0.45">
      <c r="C34" s="50">
        <v>26</v>
      </c>
      <c r="D34" s="80">
        <v>861.07792921980308</v>
      </c>
      <c r="E34" s="80">
        <v>398.10717055349778</v>
      </c>
      <c r="F34" s="80">
        <v>109.28440255237841</v>
      </c>
      <c r="G34" s="80">
        <v>38.592199561523842</v>
      </c>
    </row>
    <row r="35" spans="3:7" x14ac:dyDescent="0.45">
      <c r="C35" s="50">
        <v>27</v>
      </c>
      <c r="D35" s="80">
        <v>1116.6799182492232</v>
      </c>
      <c r="E35" s="80">
        <v>501.18723362727297</v>
      </c>
      <c r="F35" s="80">
        <v>130.90742080935436</v>
      </c>
      <c r="G35" s="80">
        <v>44.413883049065909</v>
      </c>
    </row>
    <row r="36" spans="3:7" x14ac:dyDescent="0.45">
      <c r="C36" s="50">
        <v>28</v>
      </c>
      <c r="D36" s="80">
        <v>1448.1546878700483</v>
      </c>
      <c r="E36" s="80">
        <v>630.95734448019414</v>
      </c>
      <c r="F36" s="80">
        <v>156.80877071862102</v>
      </c>
      <c r="G36" s="80">
        <v>51.113775060978014</v>
      </c>
    </row>
    <row r="37" spans="3:7" x14ac:dyDescent="0.45">
      <c r="C37" s="50">
        <v>29</v>
      </c>
      <c r="D37" s="80">
        <v>1878.0242804831651</v>
      </c>
      <c r="E37" s="80">
        <v>794.32823472428254</v>
      </c>
      <c r="F37" s="80">
        <v>187.83496323019736</v>
      </c>
      <c r="G37" s="80">
        <v>58.824354495147105</v>
      </c>
    </row>
    <row r="38" spans="3:7" x14ac:dyDescent="0.45">
      <c r="C38" s="50">
        <v>30</v>
      </c>
      <c r="D38" s="80">
        <v>2435.4961715255708</v>
      </c>
      <c r="E38" s="80">
        <v>1000.0000000000015</v>
      </c>
      <c r="F38" s="80">
        <v>224.99999999999915</v>
      </c>
      <c r="G38" s="80">
        <v>67.69808486347641</v>
      </c>
    </row>
    <row r="39" spans="3:7" x14ac:dyDescent="0.45">
      <c r="C39" s="50">
        <v>31</v>
      </c>
      <c r="D39" s="80">
        <v>3158.4477704354604</v>
      </c>
      <c r="E39" s="80">
        <v>1258.9254117941691</v>
      </c>
      <c r="F39" s="80">
        <v>269.51851311066713</v>
      </c>
      <c r="G39" s="80">
        <v>77.91042899689694</v>
      </c>
    </row>
    <row r="40" spans="3:7" x14ac:dyDescent="0.45">
      <c r="C40" s="50">
        <v>32</v>
      </c>
      <c r="D40" s="80">
        <v>4095.9999999999964</v>
      </c>
      <c r="E40" s="80">
        <v>1584.8931924611159</v>
      </c>
      <c r="F40" s="80">
        <v>322.84546181948934</v>
      </c>
      <c r="G40" s="80">
        <v>89.663318522550185</v>
      </c>
    </row>
    <row r="41" spans="3:7" x14ac:dyDescent="0.45">
      <c r="C41" s="50">
        <v>33</v>
      </c>
      <c r="D41" s="80">
        <v>5311.8548158505309</v>
      </c>
      <c r="E41" s="80">
        <v>1995.2623149688827</v>
      </c>
      <c r="F41" s="80">
        <v>386.72368370718112</v>
      </c>
      <c r="G41" s="80">
        <v>103.18914671611542</v>
      </c>
    </row>
    <row r="42" spans="3:7" x14ac:dyDescent="0.45">
      <c r="C42" s="50">
        <v>34</v>
      </c>
      <c r="D42" s="80">
        <v>6888.6234337584228</v>
      </c>
      <c r="E42" s="80">
        <v>2511.8864315095839</v>
      </c>
      <c r="F42" s="80">
        <v>463.24085429973229</v>
      </c>
      <c r="G42" s="80">
        <v>118.75536368110265</v>
      </c>
    </row>
    <row r="43" spans="3:7" x14ac:dyDescent="0.45">
      <c r="C43" s="50">
        <v>35</v>
      </c>
      <c r="D43" s="80">
        <v>8933.4393459937837</v>
      </c>
      <c r="E43" s="80">
        <v>3162.2776601683845</v>
      </c>
      <c r="F43" s="80">
        <v>554.89771672435324</v>
      </c>
      <c r="G43" s="80">
        <v>136.66976471691729</v>
      </c>
    </row>
    <row r="44" spans="3:7" x14ac:dyDescent="0.45">
      <c r="C44" s="50">
        <v>36</v>
      </c>
      <c r="D44" s="80">
        <v>11585.237502960383</v>
      </c>
      <c r="E44" s="80">
        <v>3981.0717055349792</v>
      </c>
      <c r="F44" s="80">
        <v>664.68981128912185</v>
      </c>
      <c r="G44" s="80">
        <v>157.28657644412428</v>
      </c>
    </row>
    <row r="45" spans="3:7" x14ac:dyDescent="0.45">
      <c r="C45" s="50">
        <v>37</v>
      </c>
      <c r="D45" s="80">
        <v>15024.194243865319</v>
      </c>
      <c r="E45" s="80">
        <v>5011.8723362727314</v>
      </c>
      <c r="F45" s="80">
        <v>796.20537608202108</v>
      </c>
      <c r="G45" s="80">
        <v>181.01346102962222</v>
      </c>
    </row>
    <row r="46" spans="3:7" x14ac:dyDescent="0.45">
      <c r="C46" s="50">
        <v>38</v>
      </c>
      <c r="D46" s="80">
        <v>19483.969372204559</v>
      </c>
      <c r="E46" s="80">
        <v>6309.5734448019439</v>
      </c>
      <c r="F46" s="80">
        <v>953.74261818820719</v>
      </c>
      <c r="G46" s="80">
        <v>208.31957700829338</v>
      </c>
    </row>
    <row r="47" spans="3:7" x14ac:dyDescent="0.45">
      <c r="C47" s="50">
        <v>39</v>
      </c>
      <c r="D47" s="80">
        <v>25267.582163483679</v>
      </c>
      <c r="E47" s="80">
        <v>7943.2823472428299</v>
      </c>
      <c r="F47" s="80">
        <v>1142.4501881971612</v>
      </c>
      <c r="G47" s="80">
        <v>239.74485609008102</v>
      </c>
    </row>
    <row r="48" spans="3:7" x14ac:dyDescent="0.45">
      <c r="C48" s="50">
        <v>40</v>
      </c>
      <c r="D48" s="80">
        <v>32767.999999999964</v>
      </c>
      <c r="E48" s="80">
        <v>10000.00000000002</v>
      </c>
      <c r="F48" s="80">
        <v>1368.4954490040079</v>
      </c>
      <c r="G48" s="80">
        <v>275.91067938547815</v>
      </c>
    </row>
    <row r="49" spans="3:7" x14ac:dyDescent="0.45">
      <c r="C49" s="39"/>
      <c r="D49" s="40"/>
      <c r="E49" s="40"/>
      <c r="F49" s="40"/>
      <c r="G49" s="40"/>
    </row>
    <row r="50" spans="3:7" x14ac:dyDescent="0.45">
      <c r="C50" s="39"/>
      <c r="D50" s="40"/>
      <c r="E50" s="40"/>
      <c r="F50" s="40"/>
      <c r="G50" s="40"/>
    </row>
    <row r="51" spans="3:7" x14ac:dyDescent="0.45">
      <c r="C51" s="39"/>
      <c r="D51" s="40"/>
      <c r="E51" s="40"/>
      <c r="F51" s="40"/>
      <c r="G51" s="40"/>
    </row>
    <row r="52" spans="3:7" x14ac:dyDescent="0.45">
      <c r="C52" s="39"/>
      <c r="D52" s="40"/>
      <c r="E52" s="40"/>
      <c r="F52" s="40"/>
      <c r="G52" s="40"/>
    </row>
    <row r="53" spans="3:7" x14ac:dyDescent="0.45">
      <c r="C53" s="39"/>
      <c r="D53" s="40"/>
      <c r="E53" s="40"/>
      <c r="F53" s="40"/>
      <c r="G53" s="40"/>
    </row>
    <row r="54" spans="3:7" x14ac:dyDescent="0.45">
      <c r="C54" s="39"/>
      <c r="D54" s="40"/>
      <c r="E54" s="40"/>
      <c r="F54" s="40"/>
      <c r="G54" s="40"/>
    </row>
    <row r="55" spans="3:7" x14ac:dyDescent="0.45">
      <c r="C55" s="39"/>
      <c r="D55" s="40"/>
      <c r="E55" s="40"/>
      <c r="F55" s="40"/>
      <c r="G55" s="40"/>
    </row>
    <row r="56" spans="3:7" x14ac:dyDescent="0.45">
      <c r="C56" s="39"/>
      <c r="D56" s="40"/>
      <c r="E56" s="40"/>
      <c r="F56" s="40"/>
      <c r="G56" s="40"/>
    </row>
    <row r="57" spans="3:7" x14ac:dyDescent="0.45">
      <c r="C57" s="39"/>
      <c r="D57" s="40"/>
      <c r="E57" s="40"/>
      <c r="F57" s="40"/>
      <c r="G57" s="40"/>
    </row>
    <row r="58" spans="3:7" x14ac:dyDescent="0.45">
      <c r="C58" s="39"/>
      <c r="D58" s="40"/>
      <c r="E58" s="40"/>
      <c r="F58" s="40"/>
      <c r="G58" s="40"/>
    </row>
    <row r="59" spans="3:7" x14ac:dyDescent="0.45">
      <c r="C59" s="39"/>
      <c r="D59" s="40"/>
      <c r="E59" s="40"/>
      <c r="F59" s="40"/>
      <c r="G59" s="40"/>
    </row>
    <row r="60" spans="3:7" x14ac:dyDescent="0.45">
      <c r="C60" s="39"/>
      <c r="D60" s="40"/>
      <c r="E60" s="40"/>
      <c r="F60" s="40"/>
      <c r="G60" s="40"/>
    </row>
    <row r="61" spans="3:7" x14ac:dyDescent="0.45">
      <c r="C61" s="39"/>
      <c r="D61" s="40"/>
      <c r="E61" s="40"/>
      <c r="F61" s="40"/>
      <c r="G61" s="40"/>
    </row>
    <row r="62" spans="3:7" x14ac:dyDescent="0.45">
      <c r="C62" s="39"/>
      <c r="D62" s="40"/>
      <c r="E62" s="40"/>
      <c r="F62" s="40"/>
      <c r="G62" s="40"/>
    </row>
    <row r="63" spans="3:7" x14ac:dyDescent="0.45">
      <c r="C63" s="39"/>
      <c r="D63" s="40"/>
      <c r="E63" s="40"/>
      <c r="F63" s="40"/>
      <c r="G63" s="40"/>
    </row>
    <row r="64" spans="3:7" x14ac:dyDescent="0.45">
      <c r="C64" s="39"/>
      <c r="D64" s="40"/>
      <c r="E64" s="40"/>
      <c r="F64" s="40"/>
      <c r="G64" s="40"/>
    </row>
    <row r="65" spans="3:7" x14ac:dyDescent="0.45">
      <c r="C65" s="39"/>
      <c r="D65" s="40"/>
      <c r="E65" s="40"/>
      <c r="F65" s="40"/>
      <c r="G65" s="40"/>
    </row>
    <row r="66" spans="3:7" x14ac:dyDescent="0.45">
      <c r="C66" s="39"/>
      <c r="D66" s="40"/>
      <c r="E66" s="40"/>
      <c r="F66" s="40"/>
      <c r="G66" s="40"/>
    </row>
    <row r="67" spans="3:7" x14ac:dyDescent="0.45">
      <c r="C67" s="39"/>
      <c r="D67" s="40"/>
      <c r="E67" s="40"/>
      <c r="F67" s="40"/>
      <c r="G67" s="40"/>
    </row>
    <row r="68" spans="3:7" x14ac:dyDescent="0.45">
      <c r="C68" s="39"/>
      <c r="D68" s="40"/>
      <c r="E68" s="40"/>
      <c r="F68" s="40"/>
      <c r="G68" s="40"/>
    </row>
    <row r="69" spans="3:7" x14ac:dyDescent="0.45">
      <c r="C69" s="39"/>
      <c r="D69" s="40"/>
      <c r="E69" s="40"/>
      <c r="F69" s="40"/>
      <c r="G69" s="40"/>
    </row>
    <row r="70" spans="3:7" x14ac:dyDescent="0.45">
      <c r="C70" s="39"/>
      <c r="D70" s="40"/>
      <c r="E70" s="40"/>
      <c r="F70" s="40"/>
      <c r="G70" s="40"/>
    </row>
    <row r="71" spans="3:7" x14ac:dyDescent="0.45">
      <c r="C71" s="39"/>
      <c r="D71" s="40"/>
      <c r="E71" s="40"/>
      <c r="F71" s="40"/>
      <c r="G71" s="40"/>
    </row>
    <row r="72" spans="3:7" x14ac:dyDescent="0.45">
      <c r="C72" s="39"/>
      <c r="D72" s="40"/>
      <c r="E72" s="40"/>
      <c r="F72" s="40"/>
      <c r="G72" s="40"/>
    </row>
    <row r="73" spans="3:7" x14ac:dyDescent="0.45">
      <c r="C73" s="39"/>
      <c r="D73" s="40"/>
      <c r="E73" s="40"/>
      <c r="F73" s="40"/>
      <c r="G73" s="40"/>
    </row>
    <row r="74" spans="3:7" x14ac:dyDescent="0.45">
      <c r="C74" s="39"/>
      <c r="D74" s="40"/>
      <c r="E74" s="40"/>
      <c r="F74" s="40"/>
      <c r="G74" s="40"/>
    </row>
    <row r="75" spans="3:7" x14ac:dyDescent="0.45">
      <c r="C75" s="39"/>
      <c r="D75" s="40"/>
      <c r="E75" s="40"/>
      <c r="F75" s="40"/>
      <c r="G75" s="40"/>
    </row>
    <row r="76" spans="3:7" x14ac:dyDescent="0.45">
      <c r="C76" s="39"/>
      <c r="D76" s="40"/>
      <c r="E76" s="40"/>
      <c r="F76" s="40"/>
      <c r="G76" s="40"/>
    </row>
    <row r="77" spans="3:7" x14ac:dyDescent="0.45">
      <c r="C77" s="39"/>
      <c r="D77" s="40"/>
      <c r="E77" s="40"/>
      <c r="F77" s="40"/>
      <c r="G77" s="40"/>
    </row>
    <row r="78" spans="3:7" x14ac:dyDescent="0.45">
      <c r="C78" s="39"/>
      <c r="D78" s="40"/>
      <c r="E78" s="40"/>
      <c r="F78" s="40"/>
      <c r="G78" s="40"/>
    </row>
    <row r="79" spans="3:7" x14ac:dyDescent="0.45">
      <c r="C79" s="39"/>
      <c r="D79" s="40"/>
      <c r="E79" s="40"/>
      <c r="F79" s="40"/>
      <c r="G79" s="40"/>
    </row>
    <row r="80" spans="3:7" x14ac:dyDescent="0.45">
      <c r="C80" s="39"/>
      <c r="D80" s="40"/>
      <c r="E80" s="40"/>
      <c r="F80" s="40"/>
      <c r="G80" s="40"/>
    </row>
    <row r="81" spans="3:7" x14ac:dyDescent="0.45">
      <c r="C81" s="39"/>
      <c r="D81" s="40"/>
      <c r="E81" s="40"/>
      <c r="F81" s="40"/>
      <c r="G81" s="40"/>
    </row>
    <row r="82" spans="3:7" x14ac:dyDescent="0.45">
      <c r="C82" s="39"/>
      <c r="D82" s="40"/>
      <c r="E82" s="40"/>
      <c r="F82" s="40"/>
      <c r="G82" s="40"/>
    </row>
    <row r="83" spans="3:7" x14ac:dyDescent="0.45">
      <c r="C83" s="39"/>
      <c r="D83" s="40"/>
      <c r="E83" s="40"/>
      <c r="F83" s="40"/>
      <c r="G83" s="40"/>
    </row>
    <row r="84" spans="3:7" x14ac:dyDescent="0.45">
      <c r="C84" s="39"/>
      <c r="D84" s="40"/>
      <c r="E84" s="40"/>
      <c r="F84" s="40"/>
      <c r="G84" s="40"/>
    </row>
    <row r="85" spans="3:7" x14ac:dyDescent="0.45">
      <c r="C85" s="39"/>
      <c r="D85" s="40"/>
      <c r="E85" s="40"/>
      <c r="F85" s="40"/>
      <c r="G85" s="40"/>
    </row>
    <row r="86" spans="3:7" x14ac:dyDescent="0.45">
      <c r="C86" s="39"/>
      <c r="D86" s="40"/>
      <c r="E86" s="40"/>
      <c r="F86" s="40"/>
      <c r="G86" s="40"/>
    </row>
    <row r="87" spans="3:7" x14ac:dyDescent="0.45">
      <c r="C87" s="39"/>
      <c r="D87" s="40"/>
      <c r="E87" s="40"/>
      <c r="F87" s="40"/>
      <c r="G87" s="40"/>
    </row>
    <row r="88" spans="3:7" x14ac:dyDescent="0.45">
      <c r="C88" s="39"/>
      <c r="D88" s="40"/>
      <c r="E88" s="40"/>
      <c r="F88" s="40"/>
      <c r="G88" s="40"/>
    </row>
    <row r="89" spans="3:7" x14ac:dyDescent="0.45">
      <c r="C89" s="39"/>
      <c r="D89" s="40"/>
      <c r="E89" s="40"/>
      <c r="F89" s="40"/>
      <c r="G89" s="40"/>
    </row>
    <row r="90" spans="3:7" x14ac:dyDescent="0.45">
      <c r="C90" s="39"/>
      <c r="D90" s="40"/>
      <c r="E90" s="40"/>
      <c r="F90" s="40"/>
      <c r="G90" s="40"/>
    </row>
    <row r="91" spans="3:7" x14ac:dyDescent="0.45">
      <c r="C91" s="39"/>
      <c r="D91" s="40"/>
      <c r="E91" s="40"/>
      <c r="F91" s="40"/>
      <c r="G91" s="40"/>
    </row>
    <row r="92" spans="3:7" x14ac:dyDescent="0.45">
      <c r="C92" s="39"/>
      <c r="D92" s="40"/>
      <c r="E92" s="40"/>
      <c r="F92" s="40"/>
      <c r="G92" s="40"/>
    </row>
    <row r="93" spans="3:7" x14ac:dyDescent="0.45">
      <c r="C93" s="39"/>
      <c r="D93" s="40"/>
      <c r="E93" s="40"/>
      <c r="F93" s="40"/>
      <c r="G93" s="40"/>
    </row>
    <row r="94" spans="3:7" x14ac:dyDescent="0.45">
      <c r="C94" s="39"/>
      <c r="D94" s="40"/>
      <c r="E94" s="40"/>
      <c r="F94" s="40"/>
      <c r="G94" s="40"/>
    </row>
    <row r="95" spans="3:7" x14ac:dyDescent="0.45">
      <c r="C95" s="39"/>
      <c r="D95" s="40"/>
      <c r="E95" s="40"/>
      <c r="F95" s="40"/>
      <c r="G95" s="40"/>
    </row>
    <row r="96" spans="3:7" x14ac:dyDescent="0.45">
      <c r="C96" s="39"/>
      <c r="D96" s="40"/>
      <c r="E96" s="40"/>
      <c r="F96" s="40"/>
      <c r="G96" s="40"/>
    </row>
    <row r="97" spans="3:7" x14ac:dyDescent="0.45">
      <c r="C97" s="39"/>
      <c r="D97" s="40"/>
      <c r="E97" s="40"/>
      <c r="F97" s="40"/>
      <c r="G97" s="40"/>
    </row>
    <row r="98" spans="3:7" x14ac:dyDescent="0.45">
      <c r="C98" s="39"/>
      <c r="D98" s="40"/>
      <c r="E98" s="40"/>
      <c r="F98" s="40"/>
      <c r="G98" s="40"/>
    </row>
    <row r="99" spans="3:7" x14ac:dyDescent="0.45">
      <c r="C99" s="39"/>
      <c r="D99" s="40"/>
      <c r="E99" s="40"/>
      <c r="F99" s="40"/>
      <c r="G99" s="40"/>
    </row>
    <row r="100" spans="3:7" x14ac:dyDescent="0.45">
      <c r="C100" s="39"/>
      <c r="D100" s="40"/>
      <c r="E100" s="40"/>
      <c r="F100" s="40"/>
      <c r="G100" s="40"/>
    </row>
    <row r="101" spans="3:7" x14ac:dyDescent="0.45">
      <c r="C101" s="39"/>
      <c r="D101" s="40"/>
      <c r="E101" s="40"/>
      <c r="F101" s="40"/>
      <c r="G101" s="40"/>
    </row>
    <row r="102" spans="3:7" x14ac:dyDescent="0.45">
      <c r="C102" s="39"/>
      <c r="D102" s="40"/>
      <c r="E102" s="40"/>
      <c r="F102" s="40"/>
      <c r="G102" s="40"/>
    </row>
    <row r="103" spans="3:7" x14ac:dyDescent="0.45">
      <c r="C103" s="39"/>
      <c r="D103" s="40"/>
      <c r="E103" s="40"/>
      <c r="F103" s="40"/>
      <c r="G103" s="40"/>
    </row>
    <row r="104" spans="3:7" x14ac:dyDescent="0.45">
      <c r="C104" s="39"/>
      <c r="D104" s="40"/>
      <c r="E104" s="40"/>
      <c r="F104" s="40"/>
      <c r="G104" s="40"/>
    </row>
    <row r="105" spans="3:7" x14ac:dyDescent="0.45">
      <c r="C105" s="39"/>
      <c r="D105" s="40"/>
      <c r="E105" s="40"/>
      <c r="F105" s="40"/>
      <c r="G105" s="40"/>
    </row>
    <row r="106" spans="3:7" x14ac:dyDescent="0.45">
      <c r="C106" s="39"/>
      <c r="D106" s="40"/>
      <c r="E106" s="40"/>
      <c r="F106" s="40"/>
      <c r="G106" s="40"/>
    </row>
    <row r="107" spans="3:7" x14ac:dyDescent="0.45">
      <c r="C107" s="39"/>
      <c r="D107" s="40"/>
      <c r="E107" s="40"/>
      <c r="F107" s="40"/>
      <c r="G107" s="40"/>
    </row>
    <row r="108" spans="3:7" x14ac:dyDescent="0.45">
      <c r="C108" s="39"/>
      <c r="D108" s="40"/>
      <c r="E108" s="40"/>
      <c r="F108" s="40"/>
      <c r="G108" s="40"/>
    </row>
    <row r="109" spans="3:7" x14ac:dyDescent="0.45">
      <c r="C109" s="39"/>
      <c r="D109" s="40"/>
      <c r="E109" s="40"/>
      <c r="F109" s="40"/>
      <c r="G109" s="40"/>
    </row>
    <row r="110" spans="3:7" x14ac:dyDescent="0.45">
      <c r="C110" s="39"/>
      <c r="D110" s="40"/>
      <c r="E110" s="40"/>
      <c r="F110" s="40"/>
      <c r="G110" s="40"/>
    </row>
    <row r="111" spans="3:7" x14ac:dyDescent="0.45">
      <c r="C111" s="39"/>
      <c r="D111" s="40"/>
      <c r="E111" s="40"/>
      <c r="F111" s="40"/>
      <c r="G111" s="40"/>
    </row>
    <row r="112" spans="3:7" x14ac:dyDescent="0.45">
      <c r="C112" s="39"/>
      <c r="D112" s="40"/>
      <c r="E112" s="40"/>
      <c r="F112" s="40"/>
      <c r="G112" s="40"/>
    </row>
    <row r="113" spans="3:7" x14ac:dyDescent="0.45">
      <c r="C113" s="39"/>
      <c r="D113" s="40"/>
      <c r="E113" s="40"/>
      <c r="F113" s="40"/>
      <c r="G113" s="40"/>
    </row>
    <row r="114" spans="3:7" x14ac:dyDescent="0.45">
      <c r="C114" s="39"/>
      <c r="D114" s="40"/>
      <c r="E114" s="40"/>
      <c r="F114" s="40"/>
      <c r="G114" s="40"/>
    </row>
    <row r="115" spans="3:7" x14ac:dyDescent="0.45">
      <c r="C115" s="39"/>
      <c r="D115" s="40"/>
      <c r="E115" s="40"/>
      <c r="F115" s="40"/>
      <c r="G115" s="40"/>
    </row>
    <row r="116" spans="3:7" x14ac:dyDescent="0.45">
      <c r="C116" s="39"/>
      <c r="D116" s="40"/>
      <c r="E116" s="40"/>
      <c r="F116" s="40"/>
      <c r="G116" s="40"/>
    </row>
    <row r="117" spans="3:7" x14ac:dyDescent="0.45">
      <c r="C117" s="39"/>
      <c r="D117" s="40"/>
      <c r="E117" s="40"/>
      <c r="F117" s="40"/>
      <c r="G117" s="40"/>
    </row>
    <row r="118" spans="3:7" x14ac:dyDescent="0.45">
      <c r="C118" s="39"/>
      <c r="D118" s="40"/>
      <c r="E118" s="40"/>
      <c r="F118" s="40"/>
      <c r="G118" s="40"/>
    </row>
    <row r="119" spans="3:7" x14ac:dyDescent="0.45">
      <c r="C119" s="39"/>
      <c r="D119" s="40"/>
      <c r="E119" s="40"/>
      <c r="F119" s="40"/>
      <c r="G119" s="40"/>
    </row>
    <row r="120" spans="3:7" x14ac:dyDescent="0.45">
      <c r="C120" s="39"/>
      <c r="D120" s="40"/>
      <c r="E120" s="40"/>
      <c r="F120" s="40"/>
      <c r="G120" s="40"/>
    </row>
    <row r="121" spans="3:7" x14ac:dyDescent="0.45">
      <c r="C121" s="39"/>
      <c r="D121" s="40"/>
      <c r="E121" s="40"/>
      <c r="F121" s="40"/>
      <c r="G121" s="40"/>
    </row>
    <row r="122" spans="3:7" x14ac:dyDescent="0.45">
      <c r="C122" s="39"/>
      <c r="D122" s="40"/>
      <c r="E122" s="40"/>
      <c r="F122" s="40"/>
      <c r="G122" s="40"/>
    </row>
    <row r="123" spans="3:7" x14ac:dyDescent="0.45">
      <c r="C123" s="39"/>
      <c r="D123" s="40"/>
      <c r="E123" s="40"/>
      <c r="F123" s="40"/>
      <c r="G123" s="40"/>
    </row>
    <row r="124" spans="3:7" x14ac:dyDescent="0.45">
      <c r="C124" s="39"/>
      <c r="D124" s="40"/>
      <c r="E124" s="40"/>
      <c r="F124" s="40"/>
      <c r="G124" s="40"/>
    </row>
    <row r="125" spans="3:7" x14ac:dyDescent="0.45">
      <c r="C125" s="39"/>
      <c r="D125" s="40"/>
      <c r="E125" s="40"/>
      <c r="F125" s="40"/>
      <c r="G125" s="40"/>
    </row>
    <row r="126" spans="3:7" x14ac:dyDescent="0.45">
      <c r="C126" s="39"/>
      <c r="D126" s="40"/>
      <c r="E126" s="40"/>
      <c r="F126" s="40"/>
      <c r="G126" s="40"/>
    </row>
    <row r="127" spans="3:7" x14ac:dyDescent="0.45">
      <c r="C127" s="39"/>
      <c r="D127" s="40"/>
      <c r="E127" s="40"/>
      <c r="F127" s="40"/>
      <c r="G127" s="40"/>
    </row>
    <row r="128" spans="3:7" x14ac:dyDescent="0.45">
      <c r="C128" s="39"/>
      <c r="D128" s="40"/>
      <c r="E128" s="40"/>
      <c r="F128" s="40"/>
      <c r="G128" s="40"/>
    </row>
    <row r="129" spans="3:7" x14ac:dyDescent="0.45">
      <c r="C129" s="39"/>
      <c r="D129" s="40"/>
      <c r="E129" s="40"/>
      <c r="F129" s="40"/>
      <c r="G129" s="40"/>
    </row>
    <row r="130" spans="3:7" x14ac:dyDescent="0.45">
      <c r="C130" s="39"/>
      <c r="D130" s="40"/>
      <c r="E130" s="40"/>
      <c r="F130" s="40"/>
      <c r="G130" s="40"/>
    </row>
    <row r="131" spans="3:7" x14ac:dyDescent="0.45">
      <c r="C131" s="39"/>
      <c r="D131" s="40"/>
      <c r="E131" s="40"/>
      <c r="F131" s="40"/>
      <c r="G131" s="40"/>
    </row>
    <row r="132" spans="3:7" x14ac:dyDescent="0.45">
      <c r="C132" s="39"/>
      <c r="D132" s="40"/>
      <c r="E132" s="40"/>
      <c r="F132" s="40"/>
      <c r="G132" s="40"/>
    </row>
    <row r="133" spans="3:7" x14ac:dyDescent="0.45">
      <c r="C133" s="39"/>
      <c r="D133" s="40"/>
      <c r="E133" s="40"/>
      <c r="F133" s="40"/>
      <c r="G133" s="40"/>
    </row>
    <row r="134" spans="3:7" x14ac:dyDescent="0.45">
      <c r="C134" s="39"/>
      <c r="D134" s="40"/>
      <c r="E134" s="40"/>
      <c r="F134" s="40"/>
      <c r="G134" s="40"/>
    </row>
    <row r="135" spans="3:7" x14ac:dyDescent="0.45">
      <c r="C135" s="39"/>
      <c r="D135" s="40"/>
      <c r="E135" s="40"/>
      <c r="F135" s="40"/>
      <c r="G135" s="40"/>
    </row>
    <row r="136" spans="3:7" x14ac:dyDescent="0.45">
      <c r="C136" s="39"/>
      <c r="D136" s="40"/>
      <c r="E136" s="40"/>
      <c r="F136" s="40"/>
      <c r="G136" s="40"/>
    </row>
    <row r="137" spans="3:7" x14ac:dyDescent="0.45">
      <c r="C137" s="39"/>
      <c r="D137" s="40"/>
      <c r="E137" s="40"/>
      <c r="F137" s="40"/>
      <c r="G137" s="40"/>
    </row>
    <row r="138" spans="3:7" x14ac:dyDescent="0.45">
      <c r="C138" s="39"/>
      <c r="D138" s="40"/>
      <c r="E138" s="40"/>
      <c r="F138" s="40"/>
      <c r="G138" s="40"/>
    </row>
    <row r="139" spans="3:7" x14ac:dyDescent="0.45">
      <c r="C139" s="39"/>
      <c r="D139" s="40"/>
      <c r="E139" s="40"/>
      <c r="F139" s="40"/>
      <c r="G139" s="40"/>
    </row>
    <row r="140" spans="3:7" x14ac:dyDescent="0.45">
      <c r="C140" s="39"/>
      <c r="D140" s="40"/>
      <c r="E140" s="40"/>
      <c r="F140" s="40"/>
      <c r="G140" s="40"/>
    </row>
    <row r="141" spans="3:7" x14ac:dyDescent="0.45">
      <c r="C141" s="39"/>
      <c r="D141" s="40"/>
      <c r="E141" s="40"/>
      <c r="F141" s="40"/>
      <c r="G141" s="40"/>
    </row>
    <row r="142" spans="3:7" x14ac:dyDescent="0.45">
      <c r="C142" s="39"/>
      <c r="D142" s="40"/>
      <c r="E142" s="40"/>
      <c r="F142" s="40"/>
      <c r="G142" s="40"/>
    </row>
    <row r="143" spans="3:7" x14ac:dyDescent="0.45">
      <c r="C143" s="39"/>
      <c r="D143" s="40"/>
      <c r="E143" s="40"/>
      <c r="F143" s="40"/>
      <c r="G143" s="40"/>
    </row>
    <row r="144" spans="3:7" x14ac:dyDescent="0.45">
      <c r="C144" s="39"/>
      <c r="D144" s="40"/>
      <c r="E144" s="40"/>
      <c r="F144" s="40"/>
      <c r="G144" s="40"/>
    </row>
    <row r="145" spans="3:7" x14ac:dyDescent="0.45">
      <c r="C145" s="39"/>
      <c r="D145" s="40"/>
      <c r="E145" s="40"/>
      <c r="F145" s="40"/>
      <c r="G145" s="40"/>
    </row>
    <row r="146" spans="3:7" x14ac:dyDescent="0.45">
      <c r="C146" s="39"/>
      <c r="D146" s="40"/>
      <c r="E146" s="40"/>
      <c r="F146" s="40"/>
      <c r="G146" s="40"/>
    </row>
    <row r="147" spans="3:7" x14ac:dyDescent="0.45">
      <c r="C147" s="39"/>
      <c r="D147" s="40"/>
      <c r="E147" s="40"/>
      <c r="F147" s="40"/>
      <c r="G147" s="40"/>
    </row>
    <row r="148" spans="3:7" x14ac:dyDescent="0.45">
      <c r="C148" s="39"/>
      <c r="D148" s="40"/>
      <c r="E148" s="40"/>
      <c r="F148" s="40"/>
      <c r="G148" s="40"/>
    </row>
    <row r="149" spans="3:7" x14ac:dyDescent="0.45">
      <c r="C149" s="39"/>
      <c r="D149" s="40"/>
      <c r="E149" s="40"/>
      <c r="F149" s="40"/>
      <c r="G149" s="40"/>
    </row>
    <row r="150" spans="3:7" x14ac:dyDescent="0.45">
      <c r="C150" s="39"/>
      <c r="D150" s="40"/>
      <c r="E150" s="40"/>
      <c r="F150" s="40"/>
      <c r="G150" s="40"/>
    </row>
    <row r="151" spans="3:7" x14ac:dyDescent="0.45">
      <c r="C151" s="39"/>
      <c r="D151" s="40"/>
      <c r="E151" s="40"/>
      <c r="F151" s="40"/>
      <c r="G151" s="40"/>
    </row>
    <row r="152" spans="3:7" x14ac:dyDescent="0.45">
      <c r="C152" s="39"/>
      <c r="D152" s="40"/>
      <c r="E152" s="40"/>
      <c r="F152" s="40"/>
      <c r="G152" s="40"/>
    </row>
    <row r="153" spans="3:7" x14ac:dyDescent="0.45">
      <c r="C153" s="39"/>
      <c r="D153" s="40"/>
      <c r="E153" s="40"/>
      <c r="F153" s="40"/>
      <c r="G153" s="40"/>
    </row>
    <row r="154" spans="3:7" x14ac:dyDescent="0.45">
      <c r="C154" s="39"/>
      <c r="D154" s="40"/>
      <c r="E154" s="40"/>
      <c r="F154" s="40"/>
      <c r="G154" s="40"/>
    </row>
    <row r="155" spans="3:7" x14ac:dyDescent="0.45">
      <c r="C155" s="39"/>
      <c r="D155" s="40"/>
      <c r="E155" s="40"/>
      <c r="F155" s="40"/>
      <c r="G155" s="40"/>
    </row>
    <row r="156" spans="3:7" x14ac:dyDescent="0.45">
      <c r="C156" s="39"/>
      <c r="D156" s="40"/>
      <c r="E156" s="40"/>
      <c r="F156" s="40"/>
      <c r="G156" s="40"/>
    </row>
    <row r="157" spans="3:7" x14ac:dyDescent="0.45">
      <c r="C157" s="39"/>
      <c r="D157" s="40"/>
      <c r="E157" s="40"/>
      <c r="F157" s="40"/>
      <c r="G157" s="40"/>
    </row>
    <row r="158" spans="3:7" x14ac:dyDescent="0.45">
      <c r="C158" s="39"/>
      <c r="D158" s="40"/>
      <c r="E158" s="40"/>
      <c r="F158" s="40"/>
      <c r="G158" s="40"/>
    </row>
    <row r="159" spans="3:7" x14ac:dyDescent="0.45">
      <c r="C159" s="39"/>
      <c r="D159" s="40"/>
      <c r="E159" s="40"/>
      <c r="F159" s="40"/>
      <c r="G159" s="40"/>
    </row>
    <row r="160" spans="3:7" x14ac:dyDescent="0.45">
      <c r="C160" s="39"/>
      <c r="D160" s="40"/>
      <c r="E160" s="40"/>
      <c r="F160" s="40"/>
      <c r="G160" s="40"/>
    </row>
    <row r="161" spans="3:7" x14ac:dyDescent="0.45">
      <c r="C161" s="39"/>
      <c r="D161" s="40"/>
      <c r="E161" s="40"/>
      <c r="F161" s="40"/>
      <c r="G161" s="40"/>
    </row>
    <row r="162" spans="3:7" x14ac:dyDescent="0.45">
      <c r="C162" s="39"/>
      <c r="D162" s="40"/>
      <c r="E162" s="40"/>
      <c r="F162" s="40"/>
      <c r="G162" s="40"/>
    </row>
    <row r="163" spans="3:7" x14ac:dyDescent="0.45">
      <c r="C163" s="39"/>
      <c r="D163" s="40"/>
      <c r="E163" s="40"/>
      <c r="F163" s="40"/>
      <c r="G163" s="40"/>
    </row>
    <row r="164" spans="3:7" x14ac:dyDescent="0.45">
      <c r="C164" s="39"/>
      <c r="D164" s="40"/>
      <c r="E164" s="40"/>
      <c r="F164" s="40"/>
      <c r="G164" s="40"/>
    </row>
    <row r="165" spans="3:7" x14ac:dyDescent="0.45">
      <c r="C165" s="39"/>
      <c r="D165" s="40"/>
      <c r="E165" s="40"/>
      <c r="F165" s="40"/>
      <c r="G165" s="40"/>
    </row>
    <row r="166" spans="3:7" x14ac:dyDescent="0.45">
      <c r="C166" s="39"/>
      <c r="D166" s="40"/>
      <c r="E166" s="40"/>
      <c r="F166" s="40"/>
      <c r="G166" s="40"/>
    </row>
    <row r="167" spans="3:7" x14ac:dyDescent="0.45">
      <c r="C167" s="39"/>
      <c r="D167" s="40"/>
      <c r="E167" s="40"/>
      <c r="F167" s="40"/>
      <c r="G167" s="40"/>
    </row>
    <row r="168" spans="3:7" x14ac:dyDescent="0.45">
      <c r="C168" s="39"/>
      <c r="D168" s="40"/>
      <c r="E168" s="40"/>
      <c r="F168" s="40"/>
      <c r="G168" s="40"/>
    </row>
    <row r="169" spans="3:7" x14ac:dyDescent="0.45">
      <c r="C169" s="39"/>
      <c r="D169" s="40"/>
      <c r="E169" s="40"/>
      <c r="F169" s="40"/>
      <c r="G169" s="40"/>
    </row>
    <row r="170" spans="3:7" x14ac:dyDescent="0.45">
      <c r="C170" s="39"/>
      <c r="D170" s="40"/>
      <c r="E170" s="40"/>
      <c r="F170" s="40"/>
      <c r="G170" s="40"/>
    </row>
    <row r="171" spans="3:7" x14ac:dyDescent="0.45">
      <c r="C171" s="39"/>
      <c r="D171" s="40"/>
      <c r="E171" s="40"/>
      <c r="F171" s="40"/>
      <c r="G171" s="40"/>
    </row>
    <row r="172" spans="3:7" x14ac:dyDescent="0.45">
      <c r="C172" s="39"/>
      <c r="D172" s="40"/>
      <c r="E172" s="40"/>
      <c r="F172" s="40"/>
      <c r="G172" s="40"/>
    </row>
    <row r="173" spans="3:7" x14ac:dyDescent="0.45">
      <c r="C173" s="39"/>
      <c r="D173" s="40"/>
      <c r="E173" s="40"/>
      <c r="F173" s="40"/>
      <c r="G173" s="40"/>
    </row>
    <row r="174" spans="3:7" x14ac:dyDescent="0.45">
      <c r="C174" s="39"/>
      <c r="D174" s="40"/>
      <c r="E174" s="40"/>
      <c r="F174" s="40"/>
      <c r="G174" s="40"/>
    </row>
    <row r="175" spans="3:7" x14ac:dyDescent="0.45">
      <c r="C175" s="39"/>
      <c r="D175" s="40"/>
      <c r="E175" s="40"/>
      <c r="F175" s="40"/>
      <c r="G175" s="40"/>
    </row>
    <row r="176" spans="3:7" x14ac:dyDescent="0.45">
      <c r="C176" s="39"/>
      <c r="D176" s="40"/>
      <c r="E176" s="40"/>
      <c r="F176" s="40"/>
      <c r="G176" s="40"/>
    </row>
    <row r="177" spans="3:7" x14ac:dyDescent="0.45">
      <c r="C177" s="39"/>
      <c r="D177" s="40"/>
      <c r="E177" s="40"/>
      <c r="F177" s="40"/>
      <c r="G177" s="40"/>
    </row>
    <row r="178" spans="3:7" x14ac:dyDescent="0.45">
      <c r="C178" s="39"/>
      <c r="D178" s="40"/>
      <c r="E178" s="40"/>
      <c r="F178" s="40"/>
      <c r="G178" s="40"/>
    </row>
    <row r="179" spans="3:7" x14ac:dyDescent="0.45">
      <c r="C179" s="39"/>
      <c r="D179" s="40"/>
      <c r="E179" s="40"/>
      <c r="F179" s="40"/>
      <c r="G179" s="40"/>
    </row>
    <row r="180" spans="3:7" x14ac:dyDescent="0.45">
      <c r="C180" s="39"/>
      <c r="D180" s="40"/>
      <c r="E180" s="40"/>
      <c r="F180" s="40"/>
      <c r="G180" s="40"/>
    </row>
    <row r="181" spans="3:7" x14ac:dyDescent="0.45">
      <c r="C181" s="39"/>
      <c r="D181" s="40"/>
      <c r="E181" s="40"/>
      <c r="F181" s="40"/>
      <c r="G181" s="40"/>
    </row>
    <row r="182" spans="3:7" x14ac:dyDescent="0.45">
      <c r="C182" s="39"/>
      <c r="D182" s="40"/>
      <c r="E182" s="40"/>
      <c r="F182" s="40"/>
      <c r="G182" s="40"/>
    </row>
    <row r="183" spans="3:7" x14ac:dyDescent="0.45">
      <c r="C183" s="39"/>
      <c r="D183" s="40"/>
      <c r="E183" s="40"/>
      <c r="F183" s="40"/>
      <c r="G183" s="40"/>
    </row>
    <row r="184" spans="3:7" x14ac:dyDescent="0.45">
      <c r="C184" s="39"/>
      <c r="D184" s="40"/>
      <c r="E184" s="40"/>
      <c r="F184" s="40"/>
      <c r="G184" s="40"/>
    </row>
    <row r="185" spans="3:7" x14ac:dyDescent="0.45">
      <c r="C185" s="39"/>
      <c r="D185" s="40"/>
      <c r="E185" s="40"/>
      <c r="F185" s="40"/>
      <c r="G185" s="40"/>
    </row>
    <row r="186" spans="3:7" x14ac:dyDescent="0.45">
      <c r="C186" s="39"/>
      <c r="D186" s="40"/>
      <c r="E186" s="40"/>
      <c r="F186" s="40"/>
      <c r="G186" s="40"/>
    </row>
    <row r="187" spans="3:7" x14ac:dyDescent="0.45">
      <c r="C187" s="39"/>
      <c r="D187" s="40"/>
      <c r="E187" s="40"/>
      <c r="F187" s="40"/>
      <c r="G187" s="40"/>
    </row>
    <row r="188" spans="3:7" x14ac:dyDescent="0.45">
      <c r="C188" s="39"/>
      <c r="D188" s="40"/>
      <c r="E188" s="40"/>
      <c r="F188" s="40"/>
      <c r="G188" s="40"/>
    </row>
    <row r="189" spans="3:7" x14ac:dyDescent="0.45">
      <c r="C189" s="39"/>
      <c r="D189" s="40"/>
      <c r="E189" s="40"/>
      <c r="F189" s="40"/>
      <c r="G189" s="40"/>
    </row>
    <row r="190" spans="3:7" x14ac:dyDescent="0.45">
      <c r="C190" s="39"/>
      <c r="D190" s="40"/>
      <c r="E190" s="40"/>
      <c r="F190" s="40"/>
      <c r="G190" s="40"/>
    </row>
    <row r="191" spans="3:7" x14ac:dyDescent="0.45">
      <c r="C191" s="39"/>
      <c r="D191" s="40"/>
      <c r="E191" s="40"/>
      <c r="F191" s="40"/>
      <c r="G191" s="40"/>
    </row>
    <row r="192" spans="3:7" x14ac:dyDescent="0.45">
      <c r="C192" s="39"/>
      <c r="D192" s="40"/>
      <c r="E192" s="40"/>
      <c r="F192" s="40"/>
      <c r="G192" s="40"/>
    </row>
    <row r="193" spans="3:7" x14ac:dyDescent="0.45">
      <c r="C193" s="39"/>
      <c r="D193" s="40"/>
      <c r="E193" s="40"/>
      <c r="F193" s="40"/>
      <c r="G193" s="40"/>
    </row>
    <row r="194" spans="3:7" x14ac:dyDescent="0.45">
      <c r="C194" s="39"/>
      <c r="D194" s="40"/>
      <c r="E194" s="40"/>
      <c r="F194" s="40"/>
      <c r="G194" s="40"/>
    </row>
    <row r="195" spans="3:7" x14ac:dyDescent="0.45">
      <c r="C195" s="39"/>
      <c r="D195" s="40"/>
      <c r="E195" s="40"/>
      <c r="F195" s="40"/>
      <c r="G195" s="40"/>
    </row>
    <row r="196" spans="3:7" x14ac:dyDescent="0.45">
      <c r="C196" s="39"/>
      <c r="D196" s="40"/>
      <c r="E196" s="40"/>
      <c r="F196" s="40"/>
      <c r="G196" s="40"/>
    </row>
    <row r="197" spans="3:7" x14ac:dyDescent="0.45">
      <c r="C197" s="39"/>
      <c r="D197" s="40"/>
      <c r="E197" s="40"/>
      <c r="F197" s="40"/>
      <c r="G197" s="40"/>
    </row>
    <row r="198" spans="3:7" x14ac:dyDescent="0.45">
      <c r="C198" s="39"/>
      <c r="D198" s="40"/>
      <c r="E198" s="40"/>
      <c r="F198" s="40"/>
      <c r="G198" s="40"/>
    </row>
    <row r="199" spans="3:7" x14ac:dyDescent="0.45">
      <c r="C199" s="39"/>
      <c r="D199" s="40"/>
      <c r="E199" s="40"/>
      <c r="F199" s="40"/>
      <c r="G199" s="40"/>
    </row>
    <row r="200" spans="3:7" x14ac:dyDescent="0.45">
      <c r="C200" s="39"/>
      <c r="D200" s="40"/>
      <c r="E200" s="40"/>
      <c r="F200" s="40"/>
      <c r="G200" s="40"/>
    </row>
    <row r="201" spans="3:7" x14ac:dyDescent="0.45">
      <c r="C201" s="39"/>
      <c r="D201" s="40"/>
      <c r="E201" s="40"/>
      <c r="F201" s="40"/>
      <c r="G201" s="40"/>
    </row>
    <row r="202" spans="3:7" x14ac:dyDescent="0.45">
      <c r="C202" s="39"/>
      <c r="D202" s="40"/>
      <c r="E202" s="40"/>
      <c r="F202" s="40"/>
      <c r="G202" s="40"/>
    </row>
    <row r="203" spans="3:7" x14ac:dyDescent="0.45">
      <c r="C203" s="39"/>
      <c r="D203" s="40"/>
      <c r="E203" s="40"/>
      <c r="F203" s="40"/>
      <c r="G203" s="40"/>
    </row>
    <row r="204" spans="3:7" x14ac:dyDescent="0.45">
      <c r="C204" s="39"/>
      <c r="D204" s="40"/>
      <c r="E204" s="40"/>
      <c r="F204" s="40"/>
      <c r="G204" s="40"/>
    </row>
    <row r="205" spans="3:7" x14ac:dyDescent="0.45">
      <c r="C205" s="39"/>
      <c r="D205" s="40"/>
      <c r="E205" s="40"/>
      <c r="F205" s="40"/>
      <c r="G205" s="40"/>
    </row>
    <row r="206" spans="3:7" x14ac:dyDescent="0.45">
      <c r="C206" s="39"/>
      <c r="D206" s="40"/>
      <c r="E206" s="40"/>
      <c r="F206" s="40"/>
      <c r="G206" s="40"/>
    </row>
    <row r="207" spans="3:7" x14ac:dyDescent="0.45">
      <c r="C207" s="39"/>
      <c r="D207" s="40"/>
      <c r="E207" s="40"/>
      <c r="F207" s="40"/>
      <c r="G207" s="40"/>
    </row>
    <row r="208" spans="3:7" x14ac:dyDescent="0.45">
      <c r="C208" s="39"/>
      <c r="D208" s="40"/>
      <c r="E208" s="40"/>
      <c r="F208" s="40"/>
      <c r="G208" s="40"/>
    </row>
    <row r="209" spans="3:7" x14ac:dyDescent="0.45">
      <c r="C209" s="39"/>
      <c r="D209" s="40"/>
      <c r="E209" s="40"/>
      <c r="F209" s="40"/>
      <c r="G209" s="40"/>
    </row>
    <row r="210" spans="3:7" x14ac:dyDescent="0.45">
      <c r="C210" s="39"/>
      <c r="D210" s="40"/>
      <c r="E210" s="40"/>
      <c r="F210" s="40"/>
      <c r="G210" s="40"/>
    </row>
    <row r="211" spans="3:7" x14ac:dyDescent="0.45">
      <c r="C211" s="39"/>
      <c r="D211" s="40"/>
      <c r="E211" s="40"/>
      <c r="F211" s="40"/>
      <c r="G211" s="40"/>
    </row>
    <row r="212" spans="3:7" x14ac:dyDescent="0.45">
      <c r="C212" s="39"/>
      <c r="D212" s="40"/>
      <c r="E212" s="40"/>
      <c r="F212" s="40"/>
      <c r="G212" s="40"/>
    </row>
    <row r="213" spans="3:7" x14ac:dyDescent="0.45">
      <c r="C213" s="39"/>
      <c r="D213" s="40"/>
      <c r="E213" s="40"/>
      <c r="F213" s="40"/>
      <c r="G213" s="40"/>
    </row>
    <row r="214" spans="3:7" x14ac:dyDescent="0.45">
      <c r="C214" s="39"/>
      <c r="D214" s="40"/>
      <c r="E214" s="40"/>
      <c r="F214" s="40"/>
      <c r="G214" s="40"/>
    </row>
    <row r="215" spans="3:7" x14ac:dyDescent="0.45">
      <c r="C215" s="39"/>
      <c r="D215" s="40"/>
      <c r="E215" s="40"/>
      <c r="F215" s="40"/>
      <c r="G215" s="40"/>
    </row>
    <row r="216" spans="3:7" x14ac:dyDescent="0.45">
      <c r="C216" s="39"/>
      <c r="D216" s="40"/>
      <c r="E216" s="40"/>
      <c r="F216" s="40"/>
      <c r="G216" s="40"/>
    </row>
    <row r="217" spans="3:7" x14ac:dyDescent="0.45">
      <c r="C217" s="39"/>
      <c r="D217" s="40"/>
      <c r="E217" s="40"/>
      <c r="F217" s="40"/>
      <c r="G217" s="40"/>
    </row>
    <row r="218" spans="3:7" x14ac:dyDescent="0.45">
      <c r="C218" s="39"/>
      <c r="D218" s="40"/>
      <c r="E218" s="40"/>
      <c r="F218" s="40"/>
      <c r="G218" s="40"/>
    </row>
    <row r="219" spans="3:7" x14ac:dyDescent="0.45">
      <c r="C219" s="39"/>
      <c r="D219" s="40"/>
      <c r="E219" s="40"/>
      <c r="F219" s="40"/>
      <c r="G219" s="40"/>
    </row>
    <row r="220" spans="3:7" x14ac:dyDescent="0.45">
      <c r="C220" s="39"/>
      <c r="D220" s="40"/>
      <c r="E220" s="40"/>
      <c r="F220" s="40"/>
      <c r="G220" s="40"/>
    </row>
    <row r="221" spans="3:7" x14ac:dyDescent="0.45">
      <c r="C221" s="39"/>
      <c r="D221" s="40"/>
      <c r="E221" s="40"/>
      <c r="F221" s="40"/>
      <c r="G221" s="40"/>
    </row>
    <row r="222" spans="3:7" x14ac:dyDescent="0.45">
      <c r="C222" s="39"/>
      <c r="D222" s="40"/>
      <c r="E222" s="40"/>
      <c r="F222" s="40"/>
      <c r="G222" s="40"/>
    </row>
    <row r="223" spans="3:7" x14ac:dyDescent="0.45">
      <c r="C223" s="39"/>
      <c r="D223" s="40"/>
      <c r="E223" s="40"/>
      <c r="F223" s="40"/>
      <c r="G223" s="40"/>
    </row>
    <row r="224" spans="3:7" x14ac:dyDescent="0.45">
      <c r="C224" s="39"/>
    </row>
    <row r="225" spans="3:3" x14ac:dyDescent="0.45">
      <c r="C225" s="39"/>
    </row>
    <row r="226" spans="3:3" x14ac:dyDescent="0.45">
      <c r="C226" s="39"/>
    </row>
    <row r="227" spans="3:3" x14ac:dyDescent="0.45">
      <c r="C227" s="39"/>
    </row>
    <row r="228" spans="3:3" x14ac:dyDescent="0.45">
      <c r="C228" s="39"/>
    </row>
    <row r="229" spans="3:3" x14ac:dyDescent="0.45">
      <c r="C229" s="39"/>
    </row>
    <row r="230" spans="3:3" x14ac:dyDescent="0.45">
      <c r="C230" s="39"/>
    </row>
    <row r="231" spans="3:3" x14ac:dyDescent="0.45">
      <c r="C231" s="39"/>
    </row>
    <row r="232" spans="3:3" x14ac:dyDescent="0.45">
      <c r="C232" s="39"/>
    </row>
    <row r="233" spans="3:3" x14ac:dyDescent="0.45">
      <c r="C233" s="39"/>
    </row>
    <row r="234" spans="3:3" x14ac:dyDescent="0.45">
      <c r="C234" s="39"/>
    </row>
    <row r="235" spans="3:3" x14ac:dyDescent="0.45">
      <c r="C235" s="39"/>
    </row>
    <row r="236" spans="3:3" x14ac:dyDescent="0.45">
      <c r="C236" s="39"/>
    </row>
    <row r="237" spans="3:3" x14ac:dyDescent="0.45">
      <c r="C237" s="39"/>
    </row>
    <row r="238" spans="3:3" x14ac:dyDescent="0.45">
      <c r="C238" s="39"/>
    </row>
    <row r="239" spans="3:3" x14ac:dyDescent="0.45">
      <c r="C239" s="39"/>
    </row>
    <row r="240" spans="3:3" x14ac:dyDescent="0.45">
      <c r="C240" s="39"/>
    </row>
    <row r="241" spans="3:3" x14ac:dyDescent="0.45">
      <c r="C241" s="39"/>
    </row>
    <row r="242" spans="3:3" x14ac:dyDescent="0.45">
      <c r="C242" s="39"/>
    </row>
    <row r="243" spans="3:3" x14ac:dyDescent="0.45">
      <c r="C243" s="39"/>
    </row>
    <row r="244" spans="3:3" x14ac:dyDescent="0.45">
      <c r="C244" s="39"/>
    </row>
    <row r="245" spans="3:3" x14ac:dyDescent="0.45">
      <c r="C245" s="39"/>
    </row>
    <row r="246" spans="3:3" x14ac:dyDescent="0.45">
      <c r="C246" s="39"/>
    </row>
    <row r="247" spans="3:3" x14ac:dyDescent="0.45">
      <c r="C247" s="39"/>
    </row>
    <row r="248" spans="3:3" x14ac:dyDescent="0.45">
      <c r="C248" s="39"/>
    </row>
    <row r="249" spans="3:3" x14ac:dyDescent="0.45">
      <c r="C249" s="39"/>
    </row>
    <row r="250" spans="3:3" x14ac:dyDescent="0.45">
      <c r="C250" s="39"/>
    </row>
    <row r="251" spans="3:3" x14ac:dyDescent="0.45">
      <c r="C251" s="39"/>
    </row>
    <row r="252" spans="3:3" x14ac:dyDescent="0.45">
      <c r="C252" s="39"/>
    </row>
    <row r="253" spans="3:3" x14ac:dyDescent="0.45">
      <c r="C253" s="39"/>
    </row>
    <row r="254" spans="3:3" x14ac:dyDescent="0.45">
      <c r="C254" s="39"/>
    </row>
    <row r="255" spans="3:3" x14ac:dyDescent="0.45">
      <c r="C255" s="39"/>
    </row>
    <row r="256" spans="3:3" x14ac:dyDescent="0.45">
      <c r="C256" s="39"/>
    </row>
    <row r="257" spans="3:3" x14ac:dyDescent="0.45">
      <c r="C257" s="39"/>
    </row>
    <row r="258" spans="3:3" x14ac:dyDescent="0.45">
      <c r="C258" s="39"/>
    </row>
    <row r="259" spans="3:3" x14ac:dyDescent="0.45">
      <c r="C259" s="39"/>
    </row>
    <row r="260" spans="3:3" x14ac:dyDescent="0.45">
      <c r="C260" s="39"/>
    </row>
    <row r="261" spans="3:3" x14ac:dyDescent="0.45">
      <c r="C261" s="39"/>
    </row>
    <row r="262" spans="3:3" x14ac:dyDescent="0.45">
      <c r="C262" s="39"/>
    </row>
    <row r="263" spans="3:3" x14ac:dyDescent="0.45">
      <c r="C263" s="39"/>
    </row>
    <row r="264" spans="3:3" x14ac:dyDescent="0.45">
      <c r="C264" s="39"/>
    </row>
    <row r="265" spans="3:3" x14ac:dyDescent="0.45">
      <c r="C265" s="39"/>
    </row>
    <row r="266" spans="3:3" x14ac:dyDescent="0.45">
      <c r="C266" s="39"/>
    </row>
    <row r="267" spans="3:3" x14ac:dyDescent="0.45">
      <c r="C267" s="39"/>
    </row>
    <row r="268" spans="3:3" x14ac:dyDescent="0.45">
      <c r="C268" s="39"/>
    </row>
    <row r="269" spans="3:3" x14ac:dyDescent="0.45">
      <c r="C269" s="39"/>
    </row>
    <row r="270" spans="3:3" x14ac:dyDescent="0.45">
      <c r="C270" s="39"/>
    </row>
    <row r="271" spans="3:3" x14ac:dyDescent="0.45">
      <c r="C271" s="39"/>
    </row>
    <row r="272" spans="3:3" x14ac:dyDescent="0.45">
      <c r="C272" s="39"/>
    </row>
    <row r="273" spans="3:3" x14ac:dyDescent="0.45">
      <c r="C273" s="39"/>
    </row>
    <row r="274" spans="3:3" x14ac:dyDescent="0.45">
      <c r="C274" s="39"/>
    </row>
    <row r="275" spans="3:3" x14ac:dyDescent="0.45">
      <c r="C275" s="39"/>
    </row>
    <row r="276" spans="3:3" x14ac:dyDescent="0.45">
      <c r="C276" s="39"/>
    </row>
    <row r="277" spans="3:3" x14ac:dyDescent="0.45">
      <c r="C277" s="39"/>
    </row>
    <row r="278" spans="3:3" x14ac:dyDescent="0.45">
      <c r="C278" s="39"/>
    </row>
    <row r="279" spans="3:3" x14ac:dyDescent="0.45">
      <c r="C279" s="39"/>
    </row>
    <row r="280" spans="3:3" x14ac:dyDescent="0.45">
      <c r="C280" s="39"/>
    </row>
    <row r="281" spans="3:3" x14ac:dyDescent="0.45">
      <c r="C281" s="39"/>
    </row>
    <row r="282" spans="3:3" x14ac:dyDescent="0.45">
      <c r="C282" s="39"/>
    </row>
    <row r="283" spans="3:3" x14ac:dyDescent="0.45">
      <c r="C283" s="39"/>
    </row>
    <row r="284" spans="3:3" x14ac:dyDescent="0.45">
      <c r="C284" s="39"/>
    </row>
    <row r="285" spans="3:3" x14ac:dyDescent="0.45">
      <c r="C285" s="39"/>
    </row>
    <row r="286" spans="3:3" x14ac:dyDescent="0.45">
      <c r="C286" s="39"/>
    </row>
    <row r="287" spans="3:3" x14ac:dyDescent="0.45">
      <c r="C287" s="39"/>
    </row>
    <row r="288" spans="3:3" x14ac:dyDescent="0.45">
      <c r="C288" s="39"/>
    </row>
    <row r="289" spans="3:3" x14ac:dyDescent="0.45">
      <c r="C289" s="39"/>
    </row>
    <row r="290" spans="3:3" x14ac:dyDescent="0.45">
      <c r="C290" s="39"/>
    </row>
    <row r="291" spans="3:3" x14ac:dyDescent="0.45">
      <c r="C291" s="39"/>
    </row>
    <row r="292" spans="3:3" x14ac:dyDescent="0.45">
      <c r="C292" s="39"/>
    </row>
    <row r="293" spans="3:3" x14ac:dyDescent="0.45">
      <c r="C293" s="39"/>
    </row>
    <row r="294" spans="3:3" x14ac:dyDescent="0.45">
      <c r="C294" s="39"/>
    </row>
    <row r="295" spans="3:3" x14ac:dyDescent="0.45">
      <c r="C295" s="39"/>
    </row>
  </sheetData>
  <conditionalFormatting sqref="D8:G1048576">
    <cfRule type="expression" dxfId="1" priority="2">
      <formula>D8=$C8</formula>
    </cfRule>
  </conditionalFormatting>
  <conditionalFormatting sqref="J21">
    <cfRule type="expression" dxfId="0" priority="1">
      <formula>J21=$C21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AF8B-EE15-4226-BB35-0B6F6538DF90}">
  <sheetPr>
    <tabColor theme="9" tint="0.59999389629810485"/>
  </sheetPr>
  <dimension ref="A1:U295"/>
  <sheetViews>
    <sheetView showGridLines="0" zoomScaleNormal="100" workbookViewId="0">
      <selection activeCell="D5" sqref="D5"/>
    </sheetView>
  </sheetViews>
  <sheetFormatPr defaultRowHeight="22.5" x14ac:dyDescent="0.45"/>
  <cols>
    <col min="1" max="1" width="9.140625" style="34"/>
    <col min="2" max="2" width="1.140625" style="34" customWidth="1"/>
    <col min="3" max="3" width="13.7109375" style="34" customWidth="1"/>
    <col min="4" max="7" width="16.7109375" style="34" customWidth="1"/>
    <col min="8" max="8" width="15.7109375" style="34" customWidth="1"/>
    <col min="9" max="17" width="9.140625" style="34"/>
    <col min="18" max="18" width="11.85546875" style="34" bestFit="1" customWidth="1"/>
    <col min="19" max="16384" width="9.140625" style="34"/>
  </cols>
  <sheetData>
    <row r="1" spans="1:21" ht="7.5" customHeight="1" x14ac:dyDescent="0.45"/>
    <row r="2" spans="1:21" x14ac:dyDescent="0.45">
      <c r="C2" s="41"/>
      <c r="D2" s="35"/>
      <c r="E2" s="46"/>
      <c r="F2" s="35"/>
      <c r="G2" s="35"/>
    </row>
    <row r="3" spans="1:21" x14ac:dyDescent="0.45">
      <c r="C3" s="35"/>
      <c r="D3" s="35"/>
      <c r="E3" s="35"/>
      <c r="F3" s="35"/>
      <c r="G3" s="35"/>
    </row>
    <row r="4" spans="1:21" x14ac:dyDescent="0.45">
      <c r="A4" s="55" t="s">
        <v>81</v>
      </c>
      <c r="C4" s="54"/>
      <c r="D4" s="53">
        <f>MAX(D8:D1048576)</f>
        <v>32767.999999999964</v>
      </c>
      <c r="E4" s="53">
        <f>MAX(E8:E1048576)</f>
        <v>10000.00000000002</v>
      </c>
      <c r="F4" s="53">
        <f>MAX(F8:F1048576)</f>
        <v>1368.4954490040079</v>
      </c>
      <c r="G4" s="53">
        <f>MAX(G8:G1048576)</f>
        <v>275.91067938547815</v>
      </c>
    </row>
    <row r="5" spans="1:21" x14ac:dyDescent="0.45">
      <c r="C5" s="35"/>
      <c r="D5" s="52">
        <f>'nx.in.40'!D5</f>
        <v>8</v>
      </c>
      <c r="E5" s="52">
        <f>'nx.in.40'!E5</f>
        <v>10</v>
      </c>
      <c r="F5" s="52">
        <f>'nx.in.40'!F5</f>
        <v>15</v>
      </c>
      <c r="G5" s="52">
        <f>'nx.in.40'!G5</f>
        <v>22</v>
      </c>
    </row>
    <row r="6" spans="1:21" x14ac:dyDescent="0.45">
      <c r="C6" s="35"/>
      <c r="D6" s="82" t="str">
        <f>_xlfn.CONCAT(D5,"x in ",D5," (",TEXT(D7,"00.0%"),")")</f>
        <v>8x in 8 (29.7%)</v>
      </c>
      <c r="E6" s="82" t="str">
        <f>_xlfn.CONCAT(E5,"x in ",E5," (",TEXT(E7,"00.0%"),")")</f>
        <v>10x in 10 (25.9%)</v>
      </c>
      <c r="F6" s="82" t="str">
        <f>_xlfn.CONCAT(F5,"x in ",F5," (",TEXT(F7,"00.0%"),")")</f>
        <v>15x in 15 (19.8%)</v>
      </c>
      <c r="G6" s="82" t="str">
        <f>_xlfn.CONCAT(G5,"x in ",G5," (",TEXT(G7,"00.0%"),")")</f>
        <v>22x in 22 (15.1%)</v>
      </c>
    </row>
    <row r="7" spans="1:21" s="37" customFormat="1" ht="24" x14ac:dyDescent="0.55000000000000004">
      <c r="A7" s="52" t="s">
        <v>88</v>
      </c>
      <c r="C7" s="52">
        <v>5</v>
      </c>
      <c r="D7" s="49">
        <f>D$5^(1/D$5)-1</f>
        <v>0.29683955465100964</v>
      </c>
      <c r="E7" s="49">
        <f>E$5^(1/E$5)-1</f>
        <v>0.25892541179416728</v>
      </c>
      <c r="F7" s="49">
        <f>F$5^(1/F$5)-1</f>
        <v>0.19786005826963615</v>
      </c>
      <c r="G7" s="49">
        <f>G$5^(1/G$5)-1</f>
        <v>0.15085130035827876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spans="1:21" x14ac:dyDescent="0.45">
      <c r="C8" s="50" cm="1">
        <f t="array" ref="C8:C16">_xlfn.SEQUENCE(40/C7+1,,0, C7)</f>
        <v>0</v>
      </c>
      <c r="D8" s="80" cm="1">
        <f t="array" ref="D8:D16">(1+D7)^_xlfn.ANCHORARRAY($C8)</f>
        <v>1</v>
      </c>
      <c r="E8" s="80" cm="1">
        <f t="array" ref="E8:E16">(1+E7)^_xlfn.ANCHORARRAY($C8)</f>
        <v>1</v>
      </c>
      <c r="F8" s="80" cm="1">
        <f t="array" ref="F8:F16">(1+F7)^_xlfn.ANCHORARRAY($C8)</f>
        <v>1</v>
      </c>
      <c r="G8" s="80" cm="1">
        <f t="array" ref="G8:G16">(1+G7)^_xlfn.ANCHORARRAY($C8)</f>
        <v>1</v>
      </c>
    </row>
    <row r="9" spans="1:21" ht="27.75" customHeight="1" x14ac:dyDescent="0.45">
      <c r="C9" s="50">
        <v>5</v>
      </c>
      <c r="D9" s="80">
        <v>3.6680161728186844</v>
      </c>
      <c r="E9" s="80">
        <v>3.16227766016838</v>
      </c>
      <c r="F9" s="80">
        <v>2.466212074330469</v>
      </c>
      <c r="G9" s="80">
        <v>2.0188128658666322</v>
      </c>
    </row>
    <row r="10" spans="1:21" x14ac:dyDescent="0.45">
      <c r="C10" s="50">
        <v>10</v>
      </c>
      <c r="D10" s="80">
        <v>13.454342644059428</v>
      </c>
      <c r="E10" s="80">
        <v>10.000000000000005</v>
      </c>
      <c r="F10" s="80">
        <v>6.082201995573393</v>
      </c>
      <c r="G10" s="80">
        <v>4.075605387388646</v>
      </c>
    </row>
    <row r="11" spans="1:21" x14ac:dyDescent="0.45">
      <c r="C11" s="50">
        <v>15</v>
      </c>
      <c r="D11" s="80">
        <v>49.35074641305409</v>
      </c>
      <c r="E11" s="80">
        <v>31.622776601683817</v>
      </c>
      <c r="F11" s="80">
        <v>14.999999999999973</v>
      </c>
      <c r="G11" s="80">
        <v>8.2278845922555579</v>
      </c>
    </row>
    <row r="12" spans="1:21" x14ac:dyDescent="0.45">
      <c r="C12" s="50">
        <v>20</v>
      </c>
      <c r="D12" s="80">
        <v>181.01933598375606</v>
      </c>
      <c r="E12" s="80">
        <v>100.0000000000001</v>
      </c>
      <c r="F12" s="80">
        <v>36.993181114956954</v>
      </c>
      <c r="G12" s="80">
        <v>16.610559273711349</v>
      </c>
    </row>
    <row r="13" spans="1:21" x14ac:dyDescent="0.45">
      <c r="C13" s="50">
        <v>25</v>
      </c>
      <c r="D13" s="80">
        <v>663.98185198131648</v>
      </c>
      <c r="E13" s="80">
        <v>316.2277660168383</v>
      </c>
      <c r="F13" s="80">
        <v>91.233029933600704</v>
      </c>
      <c r="G13" s="80">
        <v>33.533610771008782</v>
      </c>
    </row>
    <row r="14" spans="1:21" x14ac:dyDescent="0.45">
      <c r="C14" s="50">
        <v>30</v>
      </c>
      <c r="D14" s="80">
        <v>2435.4961715255708</v>
      </c>
      <c r="E14" s="80">
        <v>1000.0000000000015</v>
      </c>
      <c r="F14" s="80">
        <v>224.99999999999915</v>
      </c>
      <c r="G14" s="80">
        <v>67.69808486347641</v>
      </c>
    </row>
    <row r="15" spans="1:21" x14ac:dyDescent="0.45">
      <c r="C15" s="50">
        <v>35</v>
      </c>
      <c r="D15" s="80">
        <v>8933.4393459937837</v>
      </c>
      <c r="E15" s="80">
        <v>3162.2776601683845</v>
      </c>
      <c r="F15" s="80">
        <v>554.89771672435324</v>
      </c>
      <c r="G15" s="80">
        <v>136.66976471691729</v>
      </c>
    </row>
    <row r="16" spans="1:21" x14ac:dyDescent="0.45">
      <c r="C16" s="50">
        <v>40</v>
      </c>
      <c r="D16" s="80">
        <v>32767.999999999964</v>
      </c>
      <c r="E16" s="80">
        <v>10000.00000000002</v>
      </c>
      <c r="F16" s="80">
        <v>1368.4954490040079</v>
      </c>
      <c r="G16" s="80">
        <v>275.91067938547815</v>
      </c>
    </row>
    <row r="17" spans="3:21" x14ac:dyDescent="0.45">
      <c r="C17" s="50"/>
      <c r="D17" s="51"/>
      <c r="E17" s="51"/>
      <c r="F17" s="51"/>
      <c r="G17" s="51"/>
    </row>
    <row r="18" spans="3:21" x14ac:dyDescent="0.45">
      <c r="C18" s="50"/>
      <c r="D18" s="51"/>
      <c r="E18" s="51"/>
      <c r="F18" s="51"/>
      <c r="G18" s="51"/>
    </row>
    <row r="19" spans="3:21" x14ac:dyDescent="0.45">
      <c r="C19" s="81" t="s">
        <v>87</v>
      </c>
      <c r="D19" s="51"/>
      <c r="E19" s="51"/>
      <c r="F19" s="51"/>
      <c r="G19" s="51"/>
    </row>
    <row r="20" spans="3:21" x14ac:dyDescent="0.45">
      <c r="C20" s="50"/>
      <c r="D20" s="51"/>
      <c r="E20" s="51"/>
      <c r="F20" s="51"/>
      <c r="G20" s="51"/>
      <c r="H20" s="35"/>
    </row>
    <row r="21" spans="3:21" x14ac:dyDescent="0.45">
      <c r="C21" s="50" cm="1">
        <f t="array" ref="C21:C29">_xlfn.SEQUENCE(40/5+1,,0, 5)</f>
        <v>0</v>
      </c>
      <c r="D21" s="51" cm="1">
        <f t="array" ref="D21:D29">_xlfn.ANCHORARRAY(D8)/_xlfn.ANCHORARRAY($E8)</f>
        <v>1</v>
      </c>
      <c r="E21" s="51" cm="1">
        <f t="array" ref="E21:E29">_xlfn.ANCHORARRAY(E8)/_xlfn.ANCHORARRAY($E8)</f>
        <v>1</v>
      </c>
      <c r="F21" s="51" cm="1">
        <f t="array" ref="F21:F29">_xlfn.ANCHORARRAY(F8)/_xlfn.ANCHORARRAY($E8)</f>
        <v>1</v>
      </c>
      <c r="G21" s="51" cm="1">
        <f t="array" ref="G21:G29">_xlfn.ANCHORARRAY(G8)/_xlfn.ANCHORARRAY($E8)</f>
        <v>1</v>
      </c>
      <c r="H21" s="35"/>
    </row>
    <row r="22" spans="3:21" x14ac:dyDescent="0.45">
      <c r="C22" s="50">
        <v>5</v>
      </c>
      <c r="D22" s="51">
        <v>1.1599285600440841</v>
      </c>
      <c r="E22" s="51">
        <v>1</v>
      </c>
      <c r="F22" s="51">
        <v>0.77988473478927589</v>
      </c>
      <c r="G22" s="51">
        <v>0.63840468257905525</v>
      </c>
      <c r="H22" s="35"/>
    </row>
    <row r="23" spans="3:21" ht="24.75" x14ac:dyDescent="0.6">
      <c r="C23" s="50">
        <v>10</v>
      </c>
      <c r="D23" s="51">
        <v>1.345434264405942</v>
      </c>
      <c r="E23" s="51">
        <v>1</v>
      </c>
      <c r="F23" s="51">
        <v>0.60822019955733897</v>
      </c>
      <c r="G23" s="51">
        <v>0.40756053873886439</v>
      </c>
      <c r="H23" s="48"/>
    </row>
    <row r="24" spans="3:21" x14ac:dyDescent="0.45">
      <c r="C24" s="50">
        <v>15</v>
      </c>
      <c r="D24" s="51">
        <v>1.560607628946356</v>
      </c>
      <c r="E24" s="51">
        <v>1</v>
      </c>
      <c r="F24" s="51">
        <v>0.47434164902525572</v>
      </c>
      <c r="G24" s="51">
        <v>0.26018855636533345</v>
      </c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3:21" x14ac:dyDescent="0.45">
      <c r="C25" s="50">
        <v>20</v>
      </c>
      <c r="D25" s="51">
        <v>1.8101933598375588</v>
      </c>
      <c r="E25" s="51">
        <v>1</v>
      </c>
      <c r="F25" s="51">
        <v>0.36993181114956919</v>
      </c>
      <c r="G25" s="51">
        <v>0.16610559273711331</v>
      </c>
      <c r="H25" s="35"/>
    </row>
    <row r="26" spans="3:21" x14ac:dyDescent="0.45">
      <c r="C26" s="50">
        <v>25</v>
      </c>
      <c r="D26" s="51">
        <v>2.0996949772777422</v>
      </c>
      <c r="E26" s="51">
        <v>1</v>
      </c>
      <c r="F26" s="51">
        <v>0.28850417242849818</v>
      </c>
      <c r="G26" s="51">
        <v>0.10604258820594269</v>
      </c>
      <c r="H26" s="35"/>
    </row>
    <row r="27" spans="3:21" x14ac:dyDescent="0.45">
      <c r="C27" s="50">
        <v>30</v>
      </c>
      <c r="D27" s="51">
        <v>2.4354961715255672</v>
      </c>
      <c r="E27" s="51">
        <v>1</v>
      </c>
      <c r="F27" s="51">
        <v>0.22499999999999881</v>
      </c>
      <c r="G27" s="51">
        <v>6.769808486347631E-2</v>
      </c>
      <c r="H27" s="35"/>
    </row>
    <row r="28" spans="3:21" x14ac:dyDescent="0.45">
      <c r="C28" s="50">
        <v>35</v>
      </c>
      <c r="D28" s="51">
        <v>2.8250015672305313</v>
      </c>
      <c r="E28" s="51">
        <v>1</v>
      </c>
      <c r="F28" s="51">
        <v>0.17547406532758611</v>
      </c>
      <c r="G28" s="51">
        <v>4.3218774378477542E-2</v>
      </c>
      <c r="H28" s="35"/>
    </row>
    <row r="29" spans="3:21" x14ac:dyDescent="0.45">
      <c r="C29" s="50">
        <v>40</v>
      </c>
      <c r="D29" s="51">
        <v>3.2767999999999899</v>
      </c>
      <c r="E29" s="51">
        <v>1</v>
      </c>
      <c r="F29" s="51">
        <v>0.13684954490040052</v>
      </c>
      <c r="G29" s="51">
        <v>2.7591067938547761E-2</v>
      </c>
      <c r="H29" s="35"/>
    </row>
    <row r="30" spans="3:21" x14ac:dyDescent="0.45">
      <c r="C30" s="50"/>
      <c r="D30" s="51"/>
      <c r="E30" s="51"/>
      <c r="F30" s="51"/>
      <c r="G30" s="51"/>
      <c r="H30" s="35"/>
    </row>
    <row r="31" spans="3:21" x14ac:dyDescent="0.45">
      <c r="C31" s="50"/>
      <c r="D31" s="51"/>
      <c r="E31" s="51"/>
      <c r="F31" s="51"/>
      <c r="G31" s="51"/>
      <c r="H31" s="35"/>
    </row>
    <row r="32" spans="3:21" x14ac:dyDescent="0.45">
      <c r="C32" s="50"/>
      <c r="D32" s="51"/>
      <c r="E32" s="51"/>
      <c r="F32" s="51"/>
      <c r="G32" s="51"/>
      <c r="H32" s="35"/>
    </row>
    <row r="33" spans="3:18" x14ac:dyDescent="0.45">
      <c r="C33" s="50"/>
      <c r="D33" s="51"/>
      <c r="E33" s="51"/>
      <c r="F33" s="51"/>
      <c r="G33" s="51"/>
      <c r="H33" s="35"/>
    </row>
    <row r="34" spans="3:18" x14ac:dyDescent="0.45">
      <c r="C34" s="50"/>
      <c r="D34" s="51"/>
      <c r="E34" s="51"/>
      <c r="F34" s="51"/>
      <c r="G34" s="51"/>
      <c r="H34" s="35"/>
      <c r="R34" s="38"/>
    </row>
    <row r="35" spans="3:18" x14ac:dyDescent="0.45">
      <c r="C35" s="50"/>
      <c r="D35" s="51"/>
      <c r="E35" s="51"/>
      <c r="F35" s="51"/>
      <c r="G35" s="51"/>
      <c r="H35" s="35"/>
    </row>
    <row r="36" spans="3:18" x14ac:dyDescent="0.45">
      <c r="C36" s="50"/>
      <c r="D36" s="51"/>
      <c r="E36" s="51"/>
      <c r="F36" s="51"/>
      <c r="G36" s="51"/>
    </row>
    <row r="37" spans="3:18" x14ac:dyDescent="0.45">
      <c r="C37" s="50"/>
      <c r="D37" s="51"/>
      <c r="E37" s="51"/>
      <c r="F37" s="51"/>
      <c r="G37" s="51"/>
    </row>
    <row r="38" spans="3:18" x14ac:dyDescent="0.45">
      <c r="C38" s="50"/>
      <c r="D38" s="51"/>
      <c r="E38" s="51"/>
      <c r="F38" s="51"/>
      <c r="G38" s="51"/>
    </row>
    <row r="39" spans="3:18" x14ac:dyDescent="0.45">
      <c r="C39" s="50"/>
      <c r="D39" s="51"/>
      <c r="E39" s="51"/>
      <c r="F39" s="51"/>
      <c r="G39" s="51"/>
    </row>
    <row r="40" spans="3:18" x14ac:dyDescent="0.45">
      <c r="C40" s="50"/>
      <c r="D40" s="51"/>
      <c r="E40" s="51"/>
      <c r="F40" s="51"/>
      <c r="G40" s="51"/>
    </row>
    <row r="41" spans="3:18" x14ac:dyDescent="0.45">
      <c r="C41" s="50"/>
      <c r="D41" s="51"/>
      <c r="E41" s="51"/>
      <c r="F41" s="51"/>
      <c r="G41" s="51"/>
    </row>
    <row r="42" spans="3:18" x14ac:dyDescent="0.45">
      <c r="C42" s="50"/>
      <c r="D42" s="51"/>
      <c r="E42" s="51"/>
      <c r="F42" s="51"/>
      <c r="G42" s="51"/>
    </row>
    <row r="43" spans="3:18" x14ac:dyDescent="0.45">
      <c r="C43" s="50"/>
      <c r="D43" s="51"/>
      <c r="E43" s="51"/>
      <c r="F43" s="51"/>
      <c r="G43" s="51"/>
    </row>
    <row r="44" spans="3:18" x14ac:dyDescent="0.45">
      <c r="C44" s="50"/>
      <c r="D44" s="51"/>
      <c r="E44" s="51"/>
      <c r="F44" s="51"/>
      <c r="G44" s="51"/>
    </row>
    <row r="45" spans="3:18" x14ac:dyDescent="0.45">
      <c r="C45" s="50"/>
      <c r="D45" s="51"/>
      <c r="E45" s="51"/>
      <c r="F45" s="51"/>
      <c r="G45" s="51"/>
    </row>
    <row r="46" spans="3:18" x14ac:dyDescent="0.45">
      <c r="C46" s="50"/>
      <c r="D46" s="51"/>
      <c r="E46" s="51"/>
      <c r="F46" s="51"/>
      <c r="G46" s="51"/>
    </row>
    <row r="47" spans="3:18" x14ac:dyDescent="0.45">
      <c r="C47" s="50"/>
      <c r="D47" s="51"/>
      <c r="E47" s="51"/>
      <c r="F47" s="51"/>
      <c r="G47" s="51"/>
    </row>
    <row r="48" spans="3:18" x14ac:dyDescent="0.45">
      <c r="C48" s="50"/>
      <c r="D48" s="51"/>
      <c r="E48" s="51"/>
      <c r="F48" s="51"/>
      <c r="G48" s="51"/>
    </row>
    <row r="49" spans="3:7" x14ac:dyDescent="0.45">
      <c r="C49" s="39"/>
      <c r="D49" s="40"/>
      <c r="E49" s="40"/>
      <c r="F49" s="40"/>
      <c r="G49" s="40"/>
    </row>
    <row r="50" spans="3:7" x14ac:dyDescent="0.45">
      <c r="C50" s="39"/>
      <c r="D50" s="40"/>
      <c r="E50" s="40"/>
      <c r="F50" s="40"/>
      <c r="G50" s="40"/>
    </row>
    <row r="51" spans="3:7" x14ac:dyDescent="0.45">
      <c r="C51" s="39"/>
      <c r="D51" s="40"/>
      <c r="E51" s="40"/>
      <c r="F51" s="40"/>
      <c r="G51" s="40"/>
    </row>
    <row r="52" spans="3:7" x14ac:dyDescent="0.45">
      <c r="C52" s="39"/>
      <c r="D52" s="40"/>
      <c r="E52" s="40"/>
      <c r="F52" s="40"/>
      <c r="G52" s="40"/>
    </row>
    <row r="53" spans="3:7" x14ac:dyDescent="0.45">
      <c r="C53" s="39"/>
      <c r="D53" s="40"/>
      <c r="E53" s="40"/>
      <c r="F53" s="40"/>
      <c r="G53" s="40"/>
    </row>
    <row r="54" spans="3:7" x14ac:dyDescent="0.45">
      <c r="C54" s="39"/>
      <c r="D54" s="40"/>
      <c r="E54" s="40"/>
      <c r="F54" s="40"/>
      <c r="G54" s="40"/>
    </row>
    <row r="55" spans="3:7" x14ac:dyDescent="0.45">
      <c r="C55" s="39"/>
      <c r="D55" s="40"/>
      <c r="E55" s="40"/>
      <c r="F55" s="40"/>
      <c r="G55" s="40"/>
    </row>
    <row r="56" spans="3:7" x14ac:dyDescent="0.45">
      <c r="C56" s="39"/>
      <c r="D56" s="40"/>
      <c r="E56" s="40"/>
      <c r="F56" s="40"/>
      <c r="G56" s="40"/>
    </row>
    <row r="57" spans="3:7" x14ac:dyDescent="0.45">
      <c r="C57" s="39"/>
      <c r="D57" s="40"/>
      <c r="E57" s="40"/>
      <c r="F57" s="40"/>
      <c r="G57" s="40"/>
    </row>
    <row r="58" spans="3:7" x14ac:dyDescent="0.45">
      <c r="C58" s="39"/>
      <c r="D58" s="40"/>
      <c r="E58" s="40"/>
      <c r="F58" s="40"/>
      <c r="G58" s="40"/>
    </row>
    <row r="59" spans="3:7" x14ac:dyDescent="0.45">
      <c r="C59" s="39"/>
      <c r="D59" s="40"/>
      <c r="E59" s="40"/>
      <c r="F59" s="40"/>
      <c r="G59" s="40"/>
    </row>
    <row r="60" spans="3:7" x14ac:dyDescent="0.45">
      <c r="C60" s="39"/>
      <c r="D60" s="40"/>
      <c r="E60" s="40"/>
      <c r="F60" s="40"/>
      <c r="G60" s="40"/>
    </row>
    <row r="61" spans="3:7" x14ac:dyDescent="0.45">
      <c r="C61" s="39"/>
      <c r="D61" s="40"/>
      <c r="E61" s="40"/>
      <c r="F61" s="40"/>
      <c r="G61" s="40"/>
    </row>
    <row r="62" spans="3:7" x14ac:dyDescent="0.45">
      <c r="C62" s="39"/>
      <c r="D62" s="40"/>
      <c r="E62" s="40"/>
      <c r="F62" s="40"/>
      <c r="G62" s="40"/>
    </row>
    <row r="63" spans="3:7" x14ac:dyDescent="0.45">
      <c r="C63" s="39"/>
      <c r="D63" s="40"/>
      <c r="E63" s="40"/>
      <c r="F63" s="40"/>
      <c r="G63" s="40"/>
    </row>
    <row r="64" spans="3:7" x14ac:dyDescent="0.45">
      <c r="C64" s="39"/>
      <c r="D64" s="40"/>
      <c r="E64" s="40"/>
      <c r="F64" s="40"/>
      <c r="G64" s="40"/>
    </row>
    <row r="65" spans="3:7" x14ac:dyDescent="0.45">
      <c r="C65" s="39"/>
      <c r="D65" s="40"/>
      <c r="E65" s="40"/>
      <c r="F65" s="40"/>
      <c r="G65" s="40"/>
    </row>
    <row r="66" spans="3:7" x14ac:dyDescent="0.45">
      <c r="C66" s="39"/>
      <c r="D66" s="40"/>
      <c r="E66" s="40"/>
      <c r="F66" s="40"/>
      <c r="G66" s="40"/>
    </row>
    <row r="67" spans="3:7" x14ac:dyDescent="0.45">
      <c r="C67" s="39"/>
      <c r="D67" s="40"/>
      <c r="E67" s="40"/>
      <c r="F67" s="40"/>
      <c r="G67" s="40"/>
    </row>
    <row r="68" spans="3:7" x14ac:dyDescent="0.45">
      <c r="C68" s="39"/>
      <c r="D68" s="40"/>
      <c r="E68" s="40"/>
      <c r="F68" s="40"/>
      <c r="G68" s="40"/>
    </row>
    <row r="69" spans="3:7" x14ac:dyDescent="0.45">
      <c r="C69" s="39"/>
      <c r="D69" s="40"/>
      <c r="E69" s="40"/>
      <c r="F69" s="40"/>
      <c r="G69" s="40"/>
    </row>
    <row r="70" spans="3:7" x14ac:dyDescent="0.45">
      <c r="C70" s="39"/>
      <c r="D70" s="40"/>
      <c r="E70" s="40"/>
      <c r="F70" s="40"/>
      <c r="G70" s="40"/>
    </row>
    <row r="71" spans="3:7" x14ac:dyDescent="0.45">
      <c r="C71" s="39"/>
      <c r="D71" s="40"/>
      <c r="E71" s="40"/>
      <c r="F71" s="40"/>
      <c r="G71" s="40"/>
    </row>
    <row r="72" spans="3:7" x14ac:dyDescent="0.45">
      <c r="C72" s="39"/>
      <c r="D72" s="40"/>
      <c r="E72" s="40"/>
      <c r="F72" s="40"/>
      <c r="G72" s="40"/>
    </row>
    <row r="73" spans="3:7" x14ac:dyDescent="0.45">
      <c r="C73" s="39"/>
      <c r="D73" s="40"/>
      <c r="E73" s="40"/>
      <c r="F73" s="40"/>
      <c r="G73" s="40"/>
    </row>
    <row r="74" spans="3:7" x14ac:dyDescent="0.45">
      <c r="C74" s="39"/>
      <c r="D74" s="40"/>
      <c r="E74" s="40"/>
      <c r="F74" s="40"/>
      <c r="G74" s="40"/>
    </row>
    <row r="75" spans="3:7" x14ac:dyDescent="0.45">
      <c r="C75" s="39"/>
      <c r="D75" s="40"/>
      <c r="E75" s="40"/>
      <c r="F75" s="40"/>
      <c r="G75" s="40"/>
    </row>
    <row r="76" spans="3:7" x14ac:dyDescent="0.45">
      <c r="C76" s="39"/>
      <c r="D76" s="40"/>
      <c r="E76" s="40"/>
      <c r="F76" s="40"/>
      <c r="G76" s="40"/>
    </row>
    <row r="77" spans="3:7" x14ac:dyDescent="0.45">
      <c r="C77" s="39"/>
      <c r="D77" s="40"/>
      <c r="E77" s="40"/>
      <c r="F77" s="40"/>
      <c r="G77" s="40"/>
    </row>
    <row r="78" spans="3:7" x14ac:dyDescent="0.45">
      <c r="C78" s="39"/>
      <c r="D78" s="40"/>
      <c r="E78" s="40"/>
      <c r="F78" s="40"/>
      <c r="G78" s="40"/>
    </row>
    <row r="79" spans="3:7" x14ac:dyDescent="0.45">
      <c r="C79" s="39"/>
      <c r="D79" s="40"/>
      <c r="E79" s="40"/>
      <c r="F79" s="40"/>
      <c r="G79" s="40"/>
    </row>
    <row r="80" spans="3:7" x14ac:dyDescent="0.45">
      <c r="C80" s="39"/>
      <c r="D80" s="40"/>
      <c r="E80" s="40"/>
      <c r="F80" s="40"/>
      <c r="G80" s="40"/>
    </row>
    <row r="81" spans="3:7" x14ac:dyDescent="0.45">
      <c r="C81" s="39"/>
      <c r="D81" s="40"/>
      <c r="E81" s="40"/>
      <c r="F81" s="40"/>
      <c r="G81" s="40"/>
    </row>
    <row r="82" spans="3:7" x14ac:dyDescent="0.45">
      <c r="C82" s="39"/>
      <c r="D82" s="40"/>
      <c r="E82" s="40"/>
      <c r="F82" s="40"/>
      <c r="G82" s="40"/>
    </row>
    <row r="83" spans="3:7" x14ac:dyDescent="0.45">
      <c r="C83" s="39"/>
      <c r="D83" s="40"/>
      <c r="E83" s="40"/>
      <c r="F83" s="40"/>
      <c r="G83" s="40"/>
    </row>
    <row r="84" spans="3:7" x14ac:dyDescent="0.45">
      <c r="C84" s="39"/>
      <c r="D84" s="40"/>
      <c r="E84" s="40"/>
      <c r="F84" s="40"/>
      <c r="G84" s="40"/>
    </row>
    <row r="85" spans="3:7" x14ac:dyDescent="0.45">
      <c r="C85" s="39"/>
      <c r="D85" s="40"/>
      <c r="E85" s="40"/>
      <c r="F85" s="40"/>
      <c r="G85" s="40"/>
    </row>
    <row r="86" spans="3:7" x14ac:dyDescent="0.45">
      <c r="C86" s="39"/>
      <c r="D86" s="40"/>
      <c r="E86" s="40"/>
      <c r="F86" s="40"/>
      <c r="G86" s="40"/>
    </row>
    <row r="87" spans="3:7" x14ac:dyDescent="0.45">
      <c r="C87" s="39"/>
      <c r="D87" s="40"/>
      <c r="E87" s="40"/>
      <c r="F87" s="40"/>
      <c r="G87" s="40"/>
    </row>
    <row r="88" spans="3:7" x14ac:dyDescent="0.45">
      <c r="C88" s="39"/>
      <c r="D88" s="40"/>
      <c r="E88" s="40"/>
      <c r="F88" s="40"/>
      <c r="G88" s="40"/>
    </row>
    <row r="89" spans="3:7" x14ac:dyDescent="0.45">
      <c r="C89" s="39"/>
      <c r="D89" s="40"/>
      <c r="E89" s="40"/>
      <c r="F89" s="40"/>
      <c r="G89" s="40"/>
    </row>
    <row r="90" spans="3:7" x14ac:dyDescent="0.45">
      <c r="C90" s="39"/>
      <c r="D90" s="40"/>
      <c r="E90" s="40"/>
      <c r="F90" s="40"/>
      <c r="G90" s="40"/>
    </row>
    <row r="91" spans="3:7" x14ac:dyDescent="0.45">
      <c r="C91" s="39"/>
      <c r="D91" s="40"/>
      <c r="E91" s="40"/>
      <c r="F91" s="40"/>
      <c r="G91" s="40"/>
    </row>
    <row r="92" spans="3:7" x14ac:dyDescent="0.45">
      <c r="C92" s="39"/>
      <c r="D92" s="40"/>
      <c r="E92" s="40"/>
      <c r="F92" s="40"/>
      <c r="G92" s="40"/>
    </row>
    <row r="93" spans="3:7" x14ac:dyDescent="0.45">
      <c r="C93" s="39"/>
      <c r="D93" s="40"/>
      <c r="E93" s="40"/>
      <c r="F93" s="40"/>
      <c r="G93" s="40"/>
    </row>
    <row r="94" spans="3:7" x14ac:dyDescent="0.45">
      <c r="C94" s="39"/>
      <c r="D94" s="40"/>
      <c r="E94" s="40"/>
      <c r="F94" s="40"/>
      <c r="G94" s="40"/>
    </row>
    <row r="95" spans="3:7" x14ac:dyDescent="0.45">
      <c r="C95" s="39"/>
      <c r="D95" s="40"/>
      <c r="E95" s="40"/>
      <c r="F95" s="40"/>
      <c r="G95" s="40"/>
    </row>
    <row r="96" spans="3:7" x14ac:dyDescent="0.45">
      <c r="C96" s="39"/>
      <c r="D96" s="40"/>
      <c r="E96" s="40"/>
      <c r="F96" s="40"/>
      <c r="G96" s="40"/>
    </row>
    <row r="97" spans="3:7" x14ac:dyDescent="0.45">
      <c r="C97" s="39"/>
      <c r="D97" s="40"/>
      <c r="E97" s="40"/>
      <c r="F97" s="40"/>
      <c r="G97" s="40"/>
    </row>
    <row r="98" spans="3:7" x14ac:dyDescent="0.45">
      <c r="C98" s="39"/>
      <c r="D98" s="40"/>
      <c r="E98" s="40"/>
      <c r="F98" s="40"/>
      <c r="G98" s="40"/>
    </row>
    <row r="99" spans="3:7" x14ac:dyDescent="0.45">
      <c r="C99" s="39"/>
      <c r="D99" s="40"/>
      <c r="E99" s="40"/>
      <c r="F99" s="40"/>
      <c r="G99" s="40"/>
    </row>
    <row r="100" spans="3:7" x14ac:dyDescent="0.45">
      <c r="C100" s="39"/>
      <c r="D100" s="40"/>
      <c r="E100" s="40"/>
      <c r="F100" s="40"/>
      <c r="G100" s="40"/>
    </row>
    <row r="101" spans="3:7" x14ac:dyDescent="0.45">
      <c r="C101" s="39"/>
      <c r="D101" s="40"/>
      <c r="E101" s="40"/>
      <c r="F101" s="40"/>
      <c r="G101" s="40"/>
    </row>
    <row r="102" spans="3:7" x14ac:dyDescent="0.45">
      <c r="C102" s="39"/>
      <c r="D102" s="40"/>
      <c r="E102" s="40"/>
      <c r="F102" s="40"/>
      <c r="G102" s="40"/>
    </row>
    <row r="103" spans="3:7" x14ac:dyDescent="0.45">
      <c r="C103" s="39"/>
      <c r="D103" s="40"/>
      <c r="E103" s="40"/>
      <c r="F103" s="40"/>
      <c r="G103" s="40"/>
    </row>
    <row r="104" spans="3:7" x14ac:dyDescent="0.45">
      <c r="C104" s="39"/>
      <c r="D104" s="40"/>
      <c r="E104" s="40"/>
      <c r="F104" s="40"/>
      <c r="G104" s="40"/>
    </row>
    <row r="105" spans="3:7" x14ac:dyDescent="0.45">
      <c r="C105" s="39"/>
      <c r="D105" s="40"/>
      <c r="E105" s="40"/>
      <c r="F105" s="40"/>
      <c r="G105" s="40"/>
    </row>
    <row r="106" spans="3:7" x14ac:dyDescent="0.45">
      <c r="C106" s="39"/>
      <c r="D106" s="40"/>
      <c r="E106" s="40"/>
      <c r="F106" s="40"/>
      <c r="G106" s="40"/>
    </row>
    <row r="107" spans="3:7" x14ac:dyDescent="0.45">
      <c r="C107" s="39"/>
      <c r="D107" s="40"/>
      <c r="E107" s="40"/>
      <c r="F107" s="40"/>
      <c r="G107" s="40"/>
    </row>
    <row r="108" spans="3:7" x14ac:dyDescent="0.45">
      <c r="C108" s="39"/>
      <c r="D108" s="40"/>
      <c r="E108" s="40"/>
      <c r="F108" s="40"/>
      <c r="G108" s="40"/>
    </row>
    <row r="109" spans="3:7" x14ac:dyDescent="0.45">
      <c r="C109" s="39"/>
      <c r="D109" s="40"/>
      <c r="E109" s="40"/>
      <c r="F109" s="40"/>
      <c r="G109" s="40"/>
    </row>
    <row r="110" spans="3:7" x14ac:dyDescent="0.45">
      <c r="C110" s="39"/>
      <c r="D110" s="40"/>
      <c r="E110" s="40"/>
      <c r="F110" s="40"/>
      <c r="G110" s="40"/>
    </row>
    <row r="111" spans="3:7" x14ac:dyDescent="0.45">
      <c r="C111" s="39"/>
      <c r="D111" s="40"/>
      <c r="E111" s="40"/>
      <c r="F111" s="40"/>
      <c r="G111" s="40"/>
    </row>
    <row r="112" spans="3:7" x14ac:dyDescent="0.45">
      <c r="C112" s="39"/>
      <c r="D112" s="40"/>
      <c r="E112" s="40"/>
      <c r="F112" s="40"/>
      <c r="G112" s="40"/>
    </row>
    <row r="113" spans="3:7" x14ac:dyDescent="0.45">
      <c r="C113" s="39"/>
      <c r="D113" s="40"/>
      <c r="E113" s="40"/>
      <c r="F113" s="40"/>
      <c r="G113" s="40"/>
    </row>
    <row r="114" spans="3:7" x14ac:dyDescent="0.45">
      <c r="C114" s="39"/>
      <c r="D114" s="40"/>
      <c r="E114" s="40"/>
      <c r="F114" s="40"/>
      <c r="G114" s="40"/>
    </row>
    <row r="115" spans="3:7" x14ac:dyDescent="0.45">
      <c r="C115" s="39"/>
      <c r="D115" s="40"/>
      <c r="E115" s="40"/>
      <c r="F115" s="40"/>
      <c r="G115" s="40"/>
    </row>
    <row r="116" spans="3:7" x14ac:dyDescent="0.45">
      <c r="C116" s="39"/>
      <c r="D116" s="40"/>
      <c r="E116" s="40"/>
      <c r="F116" s="40"/>
      <c r="G116" s="40"/>
    </row>
    <row r="117" spans="3:7" x14ac:dyDescent="0.45">
      <c r="C117" s="39"/>
      <c r="D117" s="40"/>
      <c r="E117" s="40"/>
      <c r="F117" s="40"/>
      <c r="G117" s="40"/>
    </row>
    <row r="118" spans="3:7" x14ac:dyDescent="0.45">
      <c r="C118" s="39"/>
      <c r="D118" s="40"/>
      <c r="E118" s="40"/>
      <c r="F118" s="40"/>
      <c r="G118" s="40"/>
    </row>
    <row r="119" spans="3:7" x14ac:dyDescent="0.45">
      <c r="C119" s="39"/>
      <c r="D119" s="40"/>
      <c r="E119" s="40"/>
      <c r="F119" s="40"/>
      <c r="G119" s="40"/>
    </row>
    <row r="120" spans="3:7" x14ac:dyDescent="0.45">
      <c r="C120" s="39"/>
      <c r="D120" s="40"/>
      <c r="E120" s="40"/>
      <c r="F120" s="40"/>
      <c r="G120" s="40"/>
    </row>
    <row r="121" spans="3:7" x14ac:dyDescent="0.45">
      <c r="C121" s="39"/>
      <c r="D121" s="40"/>
      <c r="E121" s="40"/>
      <c r="F121" s="40"/>
      <c r="G121" s="40"/>
    </row>
    <row r="122" spans="3:7" x14ac:dyDescent="0.45">
      <c r="C122" s="39"/>
      <c r="D122" s="40"/>
      <c r="E122" s="40"/>
      <c r="F122" s="40"/>
      <c r="G122" s="40"/>
    </row>
    <row r="123" spans="3:7" x14ac:dyDescent="0.45">
      <c r="C123" s="39"/>
      <c r="D123" s="40"/>
      <c r="E123" s="40"/>
      <c r="F123" s="40"/>
      <c r="G123" s="40"/>
    </row>
    <row r="124" spans="3:7" x14ac:dyDescent="0.45">
      <c r="C124" s="39"/>
      <c r="D124" s="40"/>
      <c r="E124" s="40"/>
      <c r="F124" s="40"/>
      <c r="G124" s="40"/>
    </row>
    <row r="125" spans="3:7" x14ac:dyDescent="0.45">
      <c r="C125" s="39"/>
      <c r="D125" s="40"/>
      <c r="E125" s="40"/>
      <c r="F125" s="40"/>
      <c r="G125" s="40"/>
    </row>
    <row r="126" spans="3:7" x14ac:dyDescent="0.45">
      <c r="C126" s="39"/>
      <c r="D126" s="40"/>
      <c r="E126" s="40"/>
      <c r="F126" s="40"/>
      <c r="G126" s="40"/>
    </row>
    <row r="127" spans="3:7" x14ac:dyDescent="0.45">
      <c r="C127" s="39"/>
      <c r="D127" s="40"/>
      <c r="E127" s="40"/>
      <c r="F127" s="40"/>
      <c r="G127" s="40"/>
    </row>
    <row r="128" spans="3:7" x14ac:dyDescent="0.45">
      <c r="C128" s="39"/>
      <c r="D128" s="40"/>
      <c r="E128" s="40"/>
      <c r="F128" s="40"/>
      <c r="G128" s="40"/>
    </row>
    <row r="129" spans="3:7" x14ac:dyDescent="0.45">
      <c r="C129" s="39"/>
      <c r="D129" s="40"/>
      <c r="E129" s="40"/>
      <c r="F129" s="40"/>
      <c r="G129" s="40"/>
    </row>
    <row r="130" spans="3:7" x14ac:dyDescent="0.45">
      <c r="C130" s="39"/>
      <c r="D130" s="40"/>
      <c r="E130" s="40"/>
      <c r="F130" s="40"/>
      <c r="G130" s="40"/>
    </row>
    <row r="131" spans="3:7" x14ac:dyDescent="0.45">
      <c r="C131" s="39"/>
      <c r="D131" s="40"/>
      <c r="E131" s="40"/>
      <c r="F131" s="40"/>
      <c r="G131" s="40"/>
    </row>
    <row r="132" spans="3:7" x14ac:dyDescent="0.45">
      <c r="C132" s="39"/>
      <c r="D132" s="40"/>
      <c r="E132" s="40"/>
      <c r="F132" s="40"/>
      <c r="G132" s="40"/>
    </row>
    <row r="133" spans="3:7" x14ac:dyDescent="0.45">
      <c r="C133" s="39"/>
      <c r="D133" s="40"/>
      <c r="E133" s="40"/>
      <c r="F133" s="40"/>
      <c r="G133" s="40"/>
    </row>
    <row r="134" spans="3:7" x14ac:dyDescent="0.45">
      <c r="C134" s="39"/>
      <c r="D134" s="40"/>
      <c r="E134" s="40"/>
      <c r="F134" s="40"/>
      <c r="G134" s="40"/>
    </row>
    <row r="135" spans="3:7" x14ac:dyDescent="0.45">
      <c r="C135" s="39"/>
      <c r="D135" s="40"/>
      <c r="E135" s="40"/>
      <c r="F135" s="40"/>
      <c r="G135" s="40"/>
    </row>
    <row r="136" spans="3:7" x14ac:dyDescent="0.45">
      <c r="C136" s="39"/>
      <c r="D136" s="40"/>
      <c r="E136" s="40"/>
      <c r="F136" s="40"/>
      <c r="G136" s="40"/>
    </row>
    <row r="137" spans="3:7" x14ac:dyDescent="0.45">
      <c r="C137" s="39"/>
      <c r="D137" s="40"/>
      <c r="E137" s="40"/>
      <c r="F137" s="40"/>
      <c r="G137" s="40"/>
    </row>
    <row r="138" spans="3:7" x14ac:dyDescent="0.45">
      <c r="C138" s="39"/>
      <c r="D138" s="40"/>
      <c r="E138" s="40"/>
      <c r="F138" s="40"/>
      <c r="G138" s="40"/>
    </row>
    <row r="139" spans="3:7" x14ac:dyDescent="0.45">
      <c r="C139" s="39"/>
      <c r="D139" s="40"/>
      <c r="E139" s="40"/>
      <c r="F139" s="40"/>
      <c r="G139" s="40"/>
    </row>
    <row r="140" spans="3:7" x14ac:dyDescent="0.45">
      <c r="C140" s="39"/>
      <c r="D140" s="40"/>
      <c r="E140" s="40"/>
      <c r="F140" s="40"/>
      <c r="G140" s="40"/>
    </row>
    <row r="141" spans="3:7" x14ac:dyDescent="0.45">
      <c r="C141" s="39"/>
      <c r="D141" s="40"/>
      <c r="E141" s="40"/>
      <c r="F141" s="40"/>
      <c r="G141" s="40"/>
    </row>
    <row r="142" spans="3:7" x14ac:dyDescent="0.45">
      <c r="C142" s="39"/>
      <c r="D142" s="40"/>
      <c r="E142" s="40"/>
      <c r="F142" s="40"/>
      <c r="G142" s="40"/>
    </row>
    <row r="143" spans="3:7" x14ac:dyDescent="0.45">
      <c r="C143" s="39"/>
      <c r="D143" s="40"/>
      <c r="E143" s="40"/>
      <c r="F143" s="40"/>
      <c r="G143" s="40"/>
    </row>
    <row r="144" spans="3:7" x14ac:dyDescent="0.45">
      <c r="C144" s="39"/>
      <c r="D144" s="40"/>
      <c r="E144" s="40"/>
      <c r="F144" s="40"/>
      <c r="G144" s="40"/>
    </row>
    <row r="145" spans="3:7" x14ac:dyDescent="0.45">
      <c r="C145" s="39"/>
      <c r="D145" s="40"/>
      <c r="E145" s="40"/>
      <c r="F145" s="40"/>
      <c r="G145" s="40"/>
    </row>
    <row r="146" spans="3:7" x14ac:dyDescent="0.45">
      <c r="C146" s="39"/>
      <c r="D146" s="40"/>
      <c r="E146" s="40"/>
      <c r="F146" s="40"/>
      <c r="G146" s="40"/>
    </row>
    <row r="147" spans="3:7" x14ac:dyDescent="0.45">
      <c r="C147" s="39"/>
      <c r="D147" s="40"/>
      <c r="E147" s="40"/>
      <c r="F147" s="40"/>
      <c r="G147" s="40"/>
    </row>
    <row r="148" spans="3:7" x14ac:dyDescent="0.45">
      <c r="C148" s="39"/>
      <c r="D148" s="40"/>
      <c r="E148" s="40"/>
      <c r="F148" s="40"/>
      <c r="G148" s="40"/>
    </row>
    <row r="149" spans="3:7" x14ac:dyDescent="0.45">
      <c r="C149" s="39"/>
      <c r="D149" s="40"/>
      <c r="E149" s="40"/>
      <c r="F149" s="40"/>
      <c r="G149" s="40"/>
    </row>
    <row r="150" spans="3:7" x14ac:dyDescent="0.45">
      <c r="C150" s="39"/>
      <c r="D150" s="40"/>
      <c r="E150" s="40"/>
      <c r="F150" s="40"/>
      <c r="G150" s="40"/>
    </row>
    <row r="151" spans="3:7" x14ac:dyDescent="0.45">
      <c r="C151" s="39"/>
      <c r="D151" s="40"/>
      <c r="E151" s="40"/>
      <c r="F151" s="40"/>
      <c r="G151" s="40"/>
    </row>
    <row r="152" spans="3:7" x14ac:dyDescent="0.45">
      <c r="C152" s="39"/>
      <c r="D152" s="40"/>
      <c r="E152" s="40"/>
      <c r="F152" s="40"/>
      <c r="G152" s="40"/>
    </row>
    <row r="153" spans="3:7" x14ac:dyDescent="0.45">
      <c r="C153" s="39"/>
      <c r="D153" s="40"/>
      <c r="E153" s="40"/>
      <c r="F153" s="40"/>
      <c r="G153" s="40"/>
    </row>
    <row r="154" spans="3:7" x14ac:dyDescent="0.45">
      <c r="C154" s="39"/>
      <c r="D154" s="40"/>
      <c r="E154" s="40"/>
      <c r="F154" s="40"/>
      <c r="G154" s="40"/>
    </row>
    <row r="155" spans="3:7" x14ac:dyDescent="0.45">
      <c r="C155" s="39"/>
      <c r="D155" s="40"/>
      <c r="E155" s="40"/>
      <c r="F155" s="40"/>
      <c r="G155" s="40"/>
    </row>
    <row r="156" spans="3:7" x14ac:dyDescent="0.45">
      <c r="C156" s="39"/>
      <c r="D156" s="40"/>
      <c r="E156" s="40"/>
      <c r="F156" s="40"/>
      <c r="G156" s="40"/>
    </row>
    <row r="157" spans="3:7" x14ac:dyDescent="0.45">
      <c r="C157" s="39"/>
      <c r="D157" s="40"/>
      <c r="E157" s="40"/>
      <c r="F157" s="40"/>
      <c r="G157" s="40"/>
    </row>
    <row r="158" spans="3:7" x14ac:dyDescent="0.45">
      <c r="C158" s="39"/>
      <c r="D158" s="40"/>
      <c r="E158" s="40"/>
      <c r="F158" s="40"/>
      <c r="G158" s="40"/>
    </row>
    <row r="159" spans="3:7" x14ac:dyDescent="0.45">
      <c r="C159" s="39"/>
      <c r="D159" s="40"/>
      <c r="E159" s="40"/>
      <c r="F159" s="40"/>
      <c r="G159" s="40"/>
    </row>
    <row r="160" spans="3:7" x14ac:dyDescent="0.45">
      <c r="C160" s="39"/>
      <c r="D160" s="40"/>
      <c r="E160" s="40"/>
      <c r="F160" s="40"/>
      <c r="G160" s="40"/>
    </row>
    <row r="161" spans="3:7" x14ac:dyDescent="0.45">
      <c r="C161" s="39"/>
      <c r="D161" s="40"/>
      <c r="E161" s="40"/>
      <c r="F161" s="40"/>
      <c r="G161" s="40"/>
    </row>
    <row r="162" spans="3:7" x14ac:dyDescent="0.45">
      <c r="C162" s="39"/>
      <c r="D162" s="40"/>
      <c r="E162" s="40"/>
      <c r="F162" s="40"/>
      <c r="G162" s="40"/>
    </row>
    <row r="163" spans="3:7" x14ac:dyDescent="0.45">
      <c r="C163" s="39"/>
      <c r="D163" s="40"/>
      <c r="E163" s="40"/>
      <c r="F163" s="40"/>
      <c r="G163" s="40"/>
    </row>
    <row r="164" spans="3:7" x14ac:dyDescent="0.45">
      <c r="C164" s="39"/>
      <c r="D164" s="40"/>
      <c r="E164" s="40"/>
      <c r="F164" s="40"/>
      <c r="G164" s="40"/>
    </row>
    <row r="165" spans="3:7" x14ac:dyDescent="0.45">
      <c r="C165" s="39"/>
      <c r="D165" s="40"/>
      <c r="E165" s="40"/>
      <c r="F165" s="40"/>
      <c r="G165" s="40"/>
    </row>
    <row r="166" spans="3:7" x14ac:dyDescent="0.45">
      <c r="C166" s="39"/>
      <c r="D166" s="40"/>
      <c r="E166" s="40"/>
      <c r="F166" s="40"/>
      <c r="G166" s="40"/>
    </row>
    <row r="167" spans="3:7" x14ac:dyDescent="0.45">
      <c r="C167" s="39"/>
      <c r="D167" s="40"/>
      <c r="E167" s="40"/>
      <c r="F167" s="40"/>
      <c r="G167" s="40"/>
    </row>
    <row r="168" spans="3:7" x14ac:dyDescent="0.45">
      <c r="C168" s="39"/>
      <c r="D168" s="40"/>
      <c r="E168" s="40"/>
      <c r="F168" s="40"/>
      <c r="G168" s="40"/>
    </row>
    <row r="169" spans="3:7" x14ac:dyDescent="0.45">
      <c r="C169" s="39"/>
      <c r="D169" s="40"/>
      <c r="E169" s="40"/>
      <c r="F169" s="40"/>
      <c r="G169" s="40"/>
    </row>
    <row r="170" spans="3:7" x14ac:dyDescent="0.45">
      <c r="C170" s="39"/>
      <c r="D170" s="40"/>
      <c r="E170" s="40"/>
      <c r="F170" s="40"/>
      <c r="G170" s="40"/>
    </row>
    <row r="171" spans="3:7" x14ac:dyDescent="0.45">
      <c r="C171" s="39"/>
      <c r="D171" s="40"/>
      <c r="E171" s="40"/>
      <c r="F171" s="40"/>
      <c r="G171" s="40"/>
    </row>
    <row r="172" spans="3:7" x14ac:dyDescent="0.45">
      <c r="C172" s="39"/>
      <c r="D172" s="40"/>
      <c r="E172" s="40"/>
      <c r="F172" s="40"/>
      <c r="G172" s="40"/>
    </row>
    <row r="173" spans="3:7" x14ac:dyDescent="0.45">
      <c r="C173" s="39"/>
      <c r="D173" s="40"/>
      <c r="E173" s="40"/>
      <c r="F173" s="40"/>
      <c r="G173" s="40"/>
    </row>
    <row r="174" spans="3:7" x14ac:dyDescent="0.45">
      <c r="C174" s="39"/>
      <c r="D174" s="40"/>
      <c r="E174" s="40"/>
      <c r="F174" s="40"/>
      <c r="G174" s="40"/>
    </row>
    <row r="175" spans="3:7" x14ac:dyDescent="0.45">
      <c r="C175" s="39"/>
      <c r="D175" s="40"/>
      <c r="E175" s="40"/>
      <c r="F175" s="40"/>
      <c r="G175" s="40"/>
    </row>
    <row r="176" spans="3:7" x14ac:dyDescent="0.45">
      <c r="C176" s="39"/>
      <c r="D176" s="40"/>
      <c r="E176" s="40"/>
      <c r="F176" s="40"/>
      <c r="G176" s="40"/>
    </row>
    <row r="177" spans="3:7" x14ac:dyDescent="0.45">
      <c r="C177" s="39"/>
      <c r="D177" s="40"/>
      <c r="E177" s="40"/>
      <c r="F177" s="40"/>
      <c r="G177" s="40"/>
    </row>
    <row r="178" spans="3:7" x14ac:dyDescent="0.45">
      <c r="C178" s="39"/>
      <c r="D178" s="40"/>
      <c r="E178" s="40"/>
      <c r="F178" s="40"/>
      <c r="G178" s="40"/>
    </row>
    <row r="179" spans="3:7" x14ac:dyDescent="0.45">
      <c r="C179" s="39"/>
      <c r="D179" s="40"/>
      <c r="E179" s="40"/>
      <c r="F179" s="40"/>
      <c r="G179" s="40"/>
    </row>
    <row r="180" spans="3:7" x14ac:dyDescent="0.45">
      <c r="C180" s="39"/>
      <c r="D180" s="40"/>
      <c r="E180" s="40"/>
      <c r="F180" s="40"/>
      <c r="G180" s="40"/>
    </row>
    <row r="181" spans="3:7" x14ac:dyDescent="0.45">
      <c r="C181" s="39"/>
      <c r="D181" s="40"/>
      <c r="E181" s="40"/>
      <c r="F181" s="40"/>
      <c r="G181" s="40"/>
    </row>
    <row r="182" spans="3:7" x14ac:dyDescent="0.45">
      <c r="C182" s="39"/>
      <c r="D182" s="40"/>
      <c r="E182" s="40"/>
      <c r="F182" s="40"/>
      <c r="G182" s="40"/>
    </row>
    <row r="183" spans="3:7" x14ac:dyDescent="0.45">
      <c r="C183" s="39"/>
      <c r="D183" s="40"/>
      <c r="E183" s="40"/>
      <c r="F183" s="40"/>
      <c r="G183" s="40"/>
    </row>
    <row r="184" spans="3:7" x14ac:dyDescent="0.45">
      <c r="C184" s="39"/>
      <c r="D184" s="40"/>
      <c r="E184" s="40"/>
      <c r="F184" s="40"/>
      <c r="G184" s="40"/>
    </row>
    <row r="185" spans="3:7" x14ac:dyDescent="0.45">
      <c r="C185" s="39"/>
      <c r="D185" s="40"/>
      <c r="E185" s="40"/>
      <c r="F185" s="40"/>
      <c r="G185" s="40"/>
    </row>
    <row r="186" spans="3:7" x14ac:dyDescent="0.45">
      <c r="C186" s="39"/>
      <c r="D186" s="40"/>
      <c r="E186" s="40"/>
      <c r="F186" s="40"/>
      <c r="G186" s="40"/>
    </row>
    <row r="187" spans="3:7" x14ac:dyDescent="0.45">
      <c r="C187" s="39"/>
      <c r="D187" s="40"/>
      <c r="E187" s="40"/>
      <c r="F187" s="40"/>
      <c r="G187" s="40"/>
    </row>
    <row r="188" spans="3:7" x14ac:dyDescent="0.45">
      <c r="C188" s="39"/>
      <c r="D188" s="40"/>
      <c r="E188" s="40"/>
      <c r="F188" s="40"/>
      <c r="G188" s="40"/>
    </row>
    <row r="189" spans="3:7" x14ac:dyDescent="0.45">
      <c r="C189" s="39"/>
      <c r="D189" s="40"/>
      <c r="E189" s="40"/>
      <c r="F189" s="40"/>
      <c r="G189" s="40"/>
    </row>
    <row r="190" spans="3:7" x14ac:dyDescent="0.45">
      <c r="C190" s="39"/>
      <c r="D190" s="40"/>
      <c r="E190" s="40"/>
      <c r="F190" s="40"/>
      <c r="G190" s="40"/>
    </row>
    <row r="191" spans="3:7" x14ac:dyDescent="0.45">
      <c r="C191" s="39"/>
      <c r="D191" s="40"/>
      <c r="E191" s="40"/>
      <c r="F191" s="40"/>
      <c r="G191" s="40"/>
    </row>
    <row r="192" spans="3:7" x14ac:dyDescent="0.45">
      <c r="C192" s="39"/>
      <c r="D192" s="40"/>
      <c r="E192" s="40"/>
      <c r="F192" s="40"/>
      <c r="G192" s="40"/>
    </row>
    <row r="193" spans="3:7" x14ac:dyDescent="0.45">
      <c r="C193" s="39"/>
      <c r="D193" s="40"/>
      <c r="E193" s="40"/>
      <c r="F193" s="40"/>
      <c r="G193" s="40"/>
    </row>
    <row r="194" spans="3:7" x14ac:dyDescent="0.45">
      <c r="C194" s="39"/>
      <c r="D194" s="40"/>
      <c r="E194" s="40"/>
      <c r="F194" s="40"/>
      <c r="G194" s="40"/>
    </row>
    <row r="195" spans="3:7" x14ac:dyDescent="0.45">
      <c r="C195" s="39"/>
      <c r="D195" s="40"/>
      <c r="E195" s="40"/>
      <c r="F195" s="40"/>
      <c r="G195" s="40"/>
    </row>
    <row r="196" spans="3:7" x14ac:dyDescent="0.45">
      <c r="C196" s="39"/>
      <c r="D196" s="40"/>
      <c r="E196" s="40"/>
      <c r="F196" s="40"/>
      <c r="G196" s="40"/>
    </row>
    <row r="197" spans="3:7" x14ac:dyDescent="0.45">
      <c r="C197" s="39"/>
      <c r="D197" s="40"/>
      <c r="E197" s="40"/>
      <c r="F197" s="40"/>
      <c r="G197" s="40"/>
    </row>
    <row r="198" spans="3:7" x14ac:dyDescent="0.45">
      <c r="C198" s="39"/>
      <c r="D198" s="40"/>
      <c r="E198" s="40"/>
      <c r="F198" s="40"/>
      <c r="G198" s="40"/>
    </row>
    <row r="199" spans="3:7" x14ac:dyDescent="0.45">
      <c r="C199" s="39"/>
      <c r="D199" s="40"/>
      <c r="E199" s="40"/>
      <c r="F199" s="40"/>
      <c r="G199" s="40"/>
    </row>
    <row r="200" spans="3:7" x14ac:dyDescent="0.45">
      <c r="C200" s="39"/>
      <c r="D200" s="40"/>
      <c r="E200" s="40"/>
      <c r="F200" s="40"/>
      <c r="G200" s="40"/>
    </row>
    <row r="201" spans="3:7" x14ac:dyDescent="0.45">
      <c r="C201" s="39"/>
      <c r="D201" s="40"/>
      <c r="E201" s="40"/>
      <c r="F201" s="40"/>
      <c r="G201" s="40"/>
    </row>
    <row r="202" spans="3:7" x14ac:dyDescent="0.45">
      <c r="C202" s="39"/>
      <c r="D202" s="40"/>
      <c r="E202" s="40"/>
      <c r="F202" s="40"/>
      <c r="G202" s="40"/>
    </row>
    <row r="203" spans="3:7" x14ac:dyDescent="0.45">
      <c r="C203" s="39"/>
      <c r="D203" s="40"/>
      <c r="E203" s="40"/>
      <c r="F203" s="40"/>
      <c r="G203" s="40"/>
    </row>
    <row r="204" spans="3:7" x14ac:dyDescent="0.45">
      <c r="C204" s="39"/>
      <c r="D204" s="40"/>
      <c r="E204" s="40"/>
      <c r="F204" s="40"/>
      <c r="G204" s="40"/>
    </row>
    <row r="205" spans="3:7" x14ac:dyDescent="0.45">
      <c r="C205" s="39"/>
      <c r="D205" s="40"/>
      <c r="E205" s="40"/>
      <c r="F205" s="40"/>
      <c r="G205" s="40"/>
    </row>
    <row r="206" spans="3:7" x14ac:dyDescent="0.45">
      <c r="C206" s="39"/>
      <c r="D206" s="40"/>
      <c r="E206" s="40"/>
      <c r="F206" s="40"/>
      <c r="G206" s="40"/>
    </row>
    <row r="207" spans="3:7" x14ac:dyDescent="0.45">
      <c r="C207" s="39"/>
      <c r="D207" s="40"/>
      <c r="E207" s="40"/>
      <c r="F207" s="40"/>
      <c r="G207" s="40"/>
    </row>
    <row r="208" spans="3:7" x14ac:dyDescent="0.45">
      <c r="C208" s="39"/>
      <c r="D208" s="40"/>
      <c r="E208" s="40"/>
      <c r="F208" s="40"/>
      <c r="G208" s="40"/>
    </row>
    <row r="209" spans="3:7" x14ac:dyDescent="0.45">
      <c r="C209" s="39"/>
      <c r="D209" s="40"/>
      <c r="E209" s="40"/>
      <c r="F209" s="40"/>
      <c r="G209" s="40"/>
    </row>
    <row r="210" spans="3:7" x14ac:dyDescent="0.45">
      <c r="C210" s="39"/>
      <c r="D210" s="40"/>
      <c r="E210" s="40"/>
      <c r="F210" s="40"/>
      <c r="G210" s="40"/>
    </row>
    <row r="211" spans="3:7" x14ac:dyDescent="0.45">
      <c r="C211" s="39"/>
      <c r="D211" s="40"/>
      <c r="E211" s="40"/>
      <c r="F211" s="40"/>
      <c r="G211" s="40"/>
    </row>
    <row r="212" spans="3:7" x14ac:dyDescent="0.45">
      <c r="C212" s="39"/>
      <c r="D212" s="40"/>
      <c r="E212" s="40"/>
      <c r="F212" s="40"/>
      <c r="G212" s="40"/>
    </row>
    <row r="213" spans="3:7" x14ac:dyDescent="0.45">
      <c r="C213" s="39"/>
      <c r="D213" s="40"/>
      <c r="E213" s="40"/>
      <c r="F213" s="40"/>
      <c r="G213" s="40"/>
    </row>
    <row r="214" spans="3:7" x14ac:dyDescent="0.45">
      <c r="C214" s="39"/>
      <c r="D214" s="40"/>
      <c r="E214" s="40"/>
      <c r="F214" s="40"/>
      <c r="G214" s="40"/>
    </row>
    <row r="215" spans="3:7" x14ac:dyDescent="0.45">
      <c r="C215" s="39"/>
      <c r="D215" s="40"/>
      <c r="E215" s="40"/>
      <c r="F215" s="40"/>
      <c r="G215" s="40"/>
    </row>
    <row r="216" spans="3:7" x14ac:dyDescent="0.45">
      <c r="C216" s="39"/>
      <c r="D216" s="40"/>
      <c r="E216" s="40"/>
      <c r="F216" s="40"/>
      <c r="G216" s="40"/>
    </row>
    <row r="217" spans="3:7" x14ac:dyDescent="0.45">
      <c r="C217" s="39"/>
      <c r="D217" s="40"/>
      <c r="E217" s="40"/>
      <c r="F217" s="40"/>
      <c r="G217" s="40"/>
    </row>
    <row r="218" spans="3:7" x14ac:dyDescent="0.45">
      <c r="C218" s="39"/>
      <c r="D218" s="40"/>
      <c r="E218" s="40"/>
      <c r="F218" s="40"/>
      <c r="G218" s="40"/>
    </row>
    <row r="219" spans="3:7" x14ac:dyDescent="0.45">
      <c r="C219" s="39"/>
      <c r="D219" s="40"/>
      <c r="E219" s="40"/>
      <c r="F219" s="40"/>
      <c r="G219" s="40"/>
    </row>
    <row r="220" spans="3:7" x14ac:dyDescent="0.45">
      <c r="C220" s="39"/>
      <c r="D220" s="40"/>
      <c r="E220" s="40"/>
      <c r="F220" s="40"/>
      <c r="G220" s="40"/>
    </row>
    <row r="221" spans="3:7" x14ac:dyDescent="0.45">
      <c r="C221" s="39"/>
      <c r="D221" s="40"/>
      <c r="E221" s="40"/>
      <c r="F221" s="40"/>
      <c r="G221" s="40"/>
    </row>
    <row r="222" spans="3:7" x14ac:dyDescent="0.45">
      <c r="C222" s="39"/>
      <c r="D222" s="40"/>
      <c r="E222" s="40"/>
      <c r="F222" s="40"/>
      <c r="G222" s="40"/>
    </row>
    <row r="223" spans="3:7" x14ac:dyDescent="0.45">
      <c r="C223" s="39"/>
      <c r="D223" s="40"/>
      <c r="E223" s="40"/>
      <c r="F223" s="40"/>
      <c r="G223" s="40"/>
    </row>
    <row r="224" spans="3:7" x14ac:dyDescent="0.45">
      <c r="C224" s="39"/>
    </row>
    <row r="225" spans="3:3" x14ac:dyDescent="0.45">
      <c r="C225" s="39"/>
    </row>
    <row r="226" spans="3:3" x14ac:dyDescent="0.45">
      <c r="C226" s="39"/>
    </row>
    <row r="227" spans="3:3" x14ac:dyDescent="0.45">
      <c r="C227" s="39"/>
    </row>
    <row r="228" spans="3:3" x14ac:dyDescent="0.45">
      <c r="C228" s="39"/>
    </row>
    <row r="229" spans="3:3" x14ac:dyDescent="0.45">
      <c r="C229" s="39"/>
    </row>
    <row r="230" spans="3:3" x14ac:dyDescent="0.45">
      <c r="C230" s="39"/>
    </row>
    <row r="231" spans="3:3" x14ac:dyDescent="0.45">
      <c r="C231" s="39"/>
    </row>
    <row r="232" spans="3:3" x14ac:dyDescent="0.45">
      <c r="C232" s="39"/>
    </row>
    <row r="233" spans="3:3" x14ac:dyDescent="0.45">
      <c r="C233" s="39"/>
    </row>
    <row r="234" spans="3:3" x14ac:dyDescent="0.45">
      <c r="C234" s="39"/>
    </row>
    <row r="235" spans="3:3" x14ac:dyDescent="0.45">
      <c r="C235" s="39"/>
    </row>
    <row r="236" spans="3:3" x14ac:dyDescent="0.45">
      <c r="C236" s="39"/>
    </row>
    <row r="237" spans="3:3" x14ac:dyDescent="0.45">
      <c r="C237" s="39"/>
    </row>
    <row r="238" spans="3:3" x14ac:dyDescent="0.45">
      <c r="C238" s="39"/>
    </row>
    <row r="239" spans="3:3" x14ac:dyDescent="0.45">
      <c r="C239" s="39"/>
    </row>
    <row r="240" spans="3:3" x14ac:dyDescent="0.45">
      <c r="C240" s="39"/>
    </row>
    <row r="241" spans="3:3" x14ac:dyDescent="0.45">
      <c r="C241" s="39"/>
    </row>
    <row r="242" spans="3:3" x14ac:dyDescent="0.45">
      <c r="C242" s="39"/>
    </row>
    <row r="243" spans="3:3" x14ac:dyDescent="0.45">
      <c r="C243" s="39"/>
    </row>
    <row r="244" spans="3:3" x14ac:dyDescent="0.45">
      <c r="C244" s="39"/>
    </row>
    <row r="245" spans="3:3" x14ac:dyDescent="0.45">
      <c r="C245" s="39"/>
    </row>
    <row r="246" spans="3:3" x14ac:dyDescent="0.45">
      <c r="C246" s="39"/>
    </row>
    <row r="247" spans="3:3" x14ac:dyDescent="0.45">
      <c r="C247" s="39"/>
    </row>
    <row r="248" spans="3:3" x14ac:dyDescent="0.45">
      <c r="C248" s="39"/>
    </row>
    <row r="249" spans="3:3" x14ac:dyDescent="0.45">
      <c r="C249" s="39"/>
    </row>
    <row r="250" spans="3:3" x14ac:dyDescent="0.45">
      <c r="C250" s="39"/>
    </row>
    <row r="251" spans="3:3" x14ac:dyDescent="0.45">
      <c r="C251" s="39"/>
    </row>
    <row r="252" spans="3:3" x14ac:dyDescent="0.45">
      <c r="C252" s="39"/>
    </row>
    <row r="253" spans="3:3" x14ac:dyDescent="0.45">
      <c r="C253" s="39"/>
    </row>
    <row r="254" spans="3:3" x14ac:dyDescent="0.45">
      <c r="C254" s="39"/>
    </row>
    <row r="255" spans="3:3" x14ac:dyDescent="0.45">
      <c r="C255" s="39"/>
    </row>
    <row r="256" spans="3:3" x14ac:dyDescent="0.45">
      <c r="C256" s="39"/>
    </row>
    <row r="257" spans="3:3" x14ac:dyDescent="0.45">
      <c r="C257" s="39"/>
    </row>
    <row r="258" spans="3:3" x14ac:dyDescent="0.45">
      <c r="C258" s="39"/>
    </row>
    <row r="259" spans="3:3" x14ac:dyDescent="0.45">
      <c r="C259" s="39"/>
    </row>
    <row r="260" spans="3:3" x14ac:dyDescent="0.45">
      <c r="C260" s="39"/>
    </row>
    <row r="261" spans="3:3" x14ac:dyDescent="0.45">
      <c r="C261" s="39"/>
    </row>
    <row r="262" spans="3:3" x14ac:dyDescent="0.45">
      <c r="C262" s="39"/>
    </row>
    <row r="263" spans="3:3" x14ac:dyDescent="0.45">
      <c r="C263" s="39"/>
    </row>
    <row r="264" spans="3:3" x14ac:dyDescent="0.45">
      <c r="C264" s="39"/>
    </row>
    <row r="265" spans="3:3" x14ac:dyDescent="0.45">
      <c r="C265" s="39"/>
    </row>
    <row r="266" spans="3:3" x14ac:dyDescent="0.45">
      <c r="C266" s="39"/>
    </row>
    <row r="267" spans="3:3" x14ac:dyDescent="0.45">
      <c r="C267" s="39"/>
    </row>
    <row r="268" spans="3:3" x14ac:dyDescent="0.45">
      <c r="C268" s="39"/>
    </row>
    <row r="269" spans="3:3" x14ac:dyDescent="0.45">
      <c r="C269" s="39"/>
    </row>
    <row r="270" spans="3:3" x14ac:dyDescent="0.45">
      <c r="C270" s="39"/>
    </row>
    <row r="271" spans="3:3" x14ac:dyDescent="0.45">
      <c r="C271" s="39"/>
    </row>
    <row r="272" spans="3:3" x14ac:dyDescent="0.45">
      <c r="C272" s="39"/>
    </row>
    <row r="273" spans="3:3" x14ac:dyDescent="0.45">
      <c r="C273" s="39"/>
    </row>
    <row r="274" spans="3:3" x14ac:dyDescent="0.45">
      <c r="C274" s="39"/>
    </row>
    <row r="275" spans="3:3" x14ac:dyDescent="0.45">
      <c r="C275" s="39"/>
    </row>
    <row r="276" spans="3:3" x14ac:dyDescent="0.45">
      <c r="C276" s="39"/>
    </row>
    <row r="277" spans="3:3" x14ac:dyDescent="0.45">
      <c r="C277" s="39"/>
    </row>
    <row r="278" spans="3:3" x14ac:dyDescent="0.45">
      <c r="C278" s="39"/>
    </row>
    <row r="279" spans="3:3" x14ac:dyDescent="0.45">
      <c r="C279" s="39"/>
    </row>
    <row r="280" spans="3:3" x14ac:dyDescent="0.45">
      <c r="C280" s="39"/>
    </row>
    <row r="281" spans="3:3" x14ac:dyDescent="0.45">
      <c r="C281" s="39"/>
    </row>
    <row r="282" spans="3:3" x14ac:dyDescent="0.45">
      <c r="C282" s="39"/>
    </row>
    <row r="283" spans="3:3" x14ac:dyDescent="0.45">
      <c r="C283" s="39"/>
    </row>
    <row r="284" spans="3:3" x14ac:dyDescent="0.45">
      <c r="C284" s="39"/>
    </row>
    <row r="285" spans="3:3" x14ac:dyDescent="0.45">
      <c r="C285" s="39"/>
    </row>
    <row r="286" spans="3:3" x14ac:dyDescent="0.45">
      <c r="C286" s="39"/>
    </row>
    <row r="287" spans="3:3" x14ac:dyDescent="0.45">
      <c r="C287" s="39"/>
    </row>
    <row r="288" spans="3:3" x14ac:dyDescent="0.45">
      <c r="C288" s="39"/>
    </row>
    <row r="289" spans="3:3" x14ac:dyDescent="0.45">
      <c r="C289" s="39"/>
    </row>
    <row r="290" spans="3:3" x14ac:dyDescent="0.45">
      <c r="C290" s="39"/>
    </row>
    <row r="291" spans="3:3" x14ac:dyDescent="0.45">
      <c r="C291" s="39"/>
    </row>
    <row r="292" spans="3:3" x14ac:dyDescent="0.45">
      <c r="C292" s="39"/>
    </row>
    <row r="293" spans="3:3" x14ac:dyDescent="0.45">
      <c r="C293" s="39"/>
    </row>
    <row r="294" spans="3:3" x14ac:dyDescent="0.45">
      <c r="C294" s="39"/>
    </row>
    <row r="295" spans="3:3" x14ac:dyDescent="0.45">
      <c r="C295" s="3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4BC4-98F7-4DFA-A0EC-43B35FB1F2D3}">
  <sheetPr>
    <tabColor theme="9" tint="0.59999389629810485"/>
  </sheetPr>
  <dimension ref="C1:P294"/>
  <sheetViews>
    <sheetView showGridLines="0" zoomScaleNormal="100" workbookViewId="0">
      <selection activeCell="F5" sqref="F5"/>
    </sheetView>
  </sheetViews>
  <sheetFormatPr defaultRowHeight="22.5" x14ac:dyDescent="0.45"/>
  <cols>
    <col min="1" max="1" width="9.140625" style="34"/>
    <col min="2" max="2" width="1.140625" style="34" customWidth="1"/>
    <col min="3" max="3" width="13.7109375" style="34" customWidth="1"/>
    <col min="4" max="4" width="3.42578125" style="34" customWidth="1"/>
    <col min="5" max="5" width="13.7109375" style="34" customWidth="1"/>
    <col min="6" max="6" width="15.7109375" style="34" customWidth="1"/>
    <col min="7" max="15" width="9.140625" style="34"/>
    <col min="16" max="16" width="11.85546875" style="34" bestFit="1" customWidth="1"/>
    <col min="17" max="16384" width="9.140625" style="34"/>
  </cols>
  <sheetData>
    <row r="1" spans="3:16" ht="7.5" customHeight="1" x14ac:dyDescent="0.45"/>
    <row r="2" spans="3:16" x14ac:dyDescent="0.45">
      <c r="C2" s="41" t="str">
        <f>_xlfn.CONCAT(F2, "x in ",F2, " years:")</f>
        <v>10x in 10 years:</v>
      </c>
      <c r="D2" s="35"/>
      <c r="E2" s="35"/>
      <c r="F2" s="47">
        <v>10</v>
      </c>
    </row>
    <row r="3" spans="3:16" x14ac:dyDescent="0.45">
      <c r="C3" s="41" t="s">
        <v>80</v>
      </c>
      <c r="D3" s="35"/>
      <c r="E3" s="35"/>
      <c r="F3" s="45">
        <f>(F2/1)^(1/F2)-1</f>
        <v>0.25892541179416728</v>
      </c>
    </row>
    <row r="4" spans="3:16" x14ac:dyDescent="0.45">
      <c r="C4" s="41" t="s">
        <v>0</v>
      </c>
      <c r="D4" s="35"/>
      <c r="E4" s="35"/>
      <c r="F4" s="46">
        <v>1</v>
      </c>
    </row>
    <row r="5" spans="3:16" x14ac:dyDescent="0.45">
      <c r="C5" s="35"/>
      <c r="D5" s="35"/>
      <c r="E5" s="35"/>
      <c r="F5" s="35"/>
    </row>
    <row r="6" spans="3:16" s="37" customFormat="1" ht="24.75" x14ac:dyDescent="0.25">
      <c r="C6" s="42" t="s">
        <v>1</v>
      </c>
      <c r="D6" s="42"/>
      <c r="E6" s="42" t="s">
        <v>2</v>
      </c>
      <c r="F6" s="36"/>
    </row>
    <row r="7" spans="3:16" x14ac:dyDescent="0.45">
      <c r="C7" s="43" cm="1">
        <f t="array" ref="C7:C17">_xlfn.SEQUENCE(F2+1,,0)</f>
        <v>0</v>
      </c>
      <c r="D7" s="41"/>
      <c r="E7" s="44" cm="1">
        <f t="array" ref="E7:E17">F4*(1+F3)^_xlfn.ANCHORARRAY(C7)</f>
        <v>1</v>
      </c>
      <c r="F7" s="35"/>
    </row>
    <row r="8" spans="3:16" ht="27.75" customHeight="1" x14ac:dyDescent="0.45">
      <c r="C8" s="43">
        <v>1</v>
      </c>
      <c r="D8" s="41"/>
      <c r="E8" s="44">
        <v>1.2589254117941673</v>
      </c>
      <c r="F8" s="35"/>
    </row>
    <row r="9" spans="3:16" x14ac:dyDescent="0.45">
      <c r="C9" s="43">
        <v>2</v>
      </c>
      <c r="D9" s="41"/>
      <c r="E9" s="44">
        <v>1.5848931924611136</v>
      </c>
      <c r="F9" s="35"/>
    </row>
    <row r="10" spans="3:16" x14ac:dyDescent="0.45">
      <c r="C10" s="43">
        <v>3</v>
      </c>
      <c r="D10" s="41"/>
      <c r="E10" s="44">
        <v>1.99526231496888</v>
      </c>
      <c r="F10" s="35"/>
    </row>
    <row r="11" spans="3:16" x14ac:dyDescent="0.45">
      <c r="C11" s="43">
        <v>4</v>
      </c>
      <c r="D11" s="41"/>
      <c r="E11" s="44">
        <v>2.5118864315095806</v>
      </c>
      <c r="F11" s="35"/>
    </row>
    <row r="12" spans="3:16" x14ac:dyDescent="0.45">
      <c r="C12" s="43">
        <v>5</v>
      </c>
      <c r="D12" s="41"/>
      <c r="E12" s="44">
        <v>3.16227766016838</v>
      </c>
      <c r="F12" s="35"/>
    </row>
    <row r="13" spans="3:16" x14ac:dyDescent="0.45">
      <c r="C13" s="43">
        <v>6</v>
      </c>
      <c r="D13" s="41"/>
      <c r="E13" s="44">
        <v>3.9810717055349736</v>
      </c>
      <c r="F13" s="35"/>
    </row>
    <row r="14" spans="3:16" x14ac:dyDescent="0.45">
      <c r="C14" s="43">
        <v>7</v>
      </c>
      <c r="D14" s="41"/>
      <c r="E14" s="44">
        <v>5.0118723362727247</v>
      </c>
      <c r="F14" s="35"/>
    </row>
    <row r="15" spans="3:16" x14ac:dyDescent="0.45">
      <c r="C15" s="43">
        <v>8</v>
      </c>
      <c r="D15" s="41"/>
      <c r="E15" s="44">
        <v>6.3095734448019352</v>
      </c>
      <c r="F15" s="35"/>
    </row>
    <row r="16" spans="3:16" x14ac:dyDescent="0.45">
      <c r="C16" s="43">
        <v>9</v>
      </c>
      <c r="D16" s="41"/>
      <c r="E16" s="44">
        <v>7.9432823472428185</v>
      </c>
      <c r="F16" s="35"/>
      <c r="P16" s="38"/>
    </row>
    <row r="17" spans="3:6" x14ac:dyDescent="0.45">
      <c r="C17" s="43">
        <v>10</v>
      </c>
      <c r="D17" s="41"/>
      <c r="E17" s="44">
        <v>10.000000000000005</v>
      </c>
      <c r="F17" s="35"/>
    </row>
    <row r="18" spans="3:6" x14ac:dyDescent="0.45">
      <c r="C18" s="43"/>
      <c r="D18" s="41"/>
      <c r="E18" s="44"/>
    </row>
    <row r="19" spans="3:6" x14ac:dyDescent="0.45">
      <c r="C19" s="43"/>
      <c r="D19" s="41"/>
      <c r="E19" s="44"/>
    </row>
    <row r="20" spans="3:6" x14ac:dyDescent="0.45">
      <c r="C20" s="43"/>
      <c r="D20" s="41"/>
      <c r="E20" s="44"/>
    </row>
    <row r="21" spans="3:6" x14ac:dyDescent="0.45">
      <c r="C21" s="43"/>
      <c r="D21" s="41"/>
      <c r="E21" s="44"/>
    </row>
    <row r="22" spans="3:6" x14ac:dyDescent="0.45">
      <c r="C22" s="43"/>
      <c r="D22" s="41"/>
      <c r="E22" s="44"/>
    </row>
    <row r="23" spans="3:6" x14ac:dyDescent="0.45">
      <c r="C23" s="43"/>
      <c r="D23" s="41"/>
      <c r="E23" s="44"/>
    </row>
    <row r="24" spans="3:6" x14ac:dyDescent="0.45">
      <c r="C24" s="43"/>
      <c r="D24" s="41"/>
      <c r="E24" s="44"/>
    </row>
    <row r="25" spans="3:6" x14ac:dyDescent="0.45">
      <c r="C25" s="43"/>
      <c r="D25" s="41"/>
      <c r="E25" s="44"/>
    </row>
    <row r="26" spans="3:6" x14ac:dyDescent="0.45">
      <c r="C26" s="43"/>
      <c r="D26" s="41"/>
      <c r="E26" s="44"/>
    </row>
    <row r="27" spans="3:6" x14ac:dyDescent="0.45">
      <c r="C27" s="43"/>
      <c r="D27" s="41"/>
      <c r="E27" s="44"/>
    </row>
    <row r="28" spans="3:6" x14ac:dyDescent="0.45">
      <c r="C28" s="43"/>
      <c r="D28" s="41"/>
      <c r="E28" s="44"/>
    </row>
    <row r="29" spans="3:6" x14ac:dyDescent="0.45">
      <c r="C29" s="43"/>
      <c r="D29" s="41"/>
      <c r="E29" s="44"/>
    </row>
    <row r="30" spans="3:6" x14ac:dyDescent="0.45">
      <c r="C30" s="43"/>
      <c r="D30" s="41"/>
      <c r="E30" s="44"/>
    </row>
    <row r="31" spans="3:6" x14ac:dyDescent="0.45">
      <c r="C31" s="43"/>
      <c r="D31" s="41"/>
      <c r="E31" s="44"/>
    </row>
    <row r="32" spans="3:6" x14ac:dyDescent="0.45">
      <c r="C32" s="43"/>
      <c r="D32" s="41"/>
      <c r="E32" s="44"/>
    </row>
    <row r="33" spans="3:5" x14ac:dyDescent="0.45">
      <c r="C33" s="43"/>
      <c r="D33" s="41"/>
      <c r="E33" s="44"/>
    </row>
    <row r="34" spans="3:5" x14ac:dyDescent="0.45">
      <c r="C34" s="43"/>
      <c r="D34" s="41"/>
      <c r="E34" s="44"/>
    </row>
    <row r="35" spans="3:5" x14ac:dyDescent="0.45">
      <c r="C35" s="43"/>
      <c r="D35" s="41"/>
      <c r="E35" s="44"/>
    </row>
    <row r="36" spans="3:5" x14ac:dyDescent="0.45">
      <c r="C36" s="43"/>
      <c r="D36" s="41"/>
      <c r="E36" s="44"/>
    </row>
    <row r="37" spans="3:5" x14ac:dyDescent="0.45">
      <c r="C37" s="43"/>
      <c r="D37" s="41"/>
      <c r="E37" s="44"/>
    </row>
    <row r="38" spans="3:5" x14ac:dyDescent="0.45">
      <c r="C38" s="43"/>
      <c r="D38" s="41"/>
      <c r="E38" s="44"/>
    </row>
    <row r="39" spans="3:5" x14ac:dyDescent="0.45">
      <c r="C39" s="43"/>
      <c r="D39" s="41"/>
      <c r="E39" s="44"/>
    </row>
    <row r="40" spans="3:5" x14ac:dyDescent="0.45">
      <c r="C40" s="43"/>
      <c r="D40" s="41"/>
      <c r="E40" s="44"/>
    </row>
    <row r="41" spans="3:5" x14ac:dyDescent="0.45">
      <c r="C41" s="43"/>
      <c r="D41" s="41"/>
      <c r="E41" s="44"/>
    </row>
    <row r="42" spans="3:5" x14ac:dyDescent="0.45">
      <c r="C42" s="43"/>
      <c r="D42" s="41"/>
      <c r="E42" s="44"/>
    </row>
    <row r="43" spans="3:5" x14ac:dyDescent="0.45">
      <c r="C43" s="43"/>
      <c r="D43" s="41"/>
      <c r="E43" s="44"/>
    </row>
    <row r="44" spans="3:5" x14ac:dyDescent="0.45">
      <c r="C44" s="43"/>
      <c r="D44" s="41"/>
      <c r="E44" s="44"/>
    </row>
    <row r="45" spans="3:5" x14ac:dyDescent="0.45">
      <c r="C45" s="43"/>
      <c r="D45" s="41"/>
      <c r="E45" s="44"/>
    </row>
    <row r="46" spans="3:5" x14ac:dyDescent="0.45">
      <c r="C46" s="43"/>
      <c r="D46" s="41"/>
      <c r="E46" s="44"/>
    </row>
    <row r="47" spans="3:5" x14ac:dyDescent="0.45">
      <c r="C47" s="43"/>
      <c r="D47" s="41"/>
      <c r="E47" s="44"/>
    </row>
    <row r="48" spans="3:5" x14ac:dyDescent="0.45">
      <c r="C48" s="43"/>
      <c r="D48" s="41"/>
      <c r="E48" s="44"/>
    </row>
    <row r="49" spans="3:5" x14ac:dyDescent="0.45">
      <c r="C49" s="43"/>
      <c r="D49" s="41"/>
      <c r="E49" s="44"/>
    </row>
    <row r="50" spans="3:5" x14ac:dyDescent="0.45">
      <c r="C50" s="43"/>
      <c r="D50" s="41"/>
      <c r="E50" s="44"/>
    </row>
    <row r="51" spans="3:5" x14ac:dyDescent="0.45">
      <c r="C51" s="43"/>
      <c r="D51" s="41"/>
      <c r="E51" s="44"/>
    </row>
    <row r="52" spans="3:5" x14ac:dyDescent="0.45">
      <c r="C52" s="43"/>
      <c r="D52" s="41"/>
      <c r="E52" s="44"/>
    </row>
    <row r="53" spans="3:5" x14ac:dyDescent="0.45">
      <c r="C53" s="43"/>
      <c r="D53" s="41"/>
      <c r="E53" s="44"/>
    </row>
    <row r="54" spans="3:5" x14ac:dyDescent="0.45">
      <c r="C54" s="43"/>
      <c r="D54" s="41"/>
      <c r="E54" s="44"/>
    </row>
    <row r="55" spans="3:5" x14ac:dyDescent="0.45">
      <c r="C55" s="43"/>
      <c r="D55" s="41"/>
      <c r="E55" s="44"/>
    </row>
    <row r="56" spans="3:5" x14ac:dyDescent="0.45">
      <c r="C56" s="43"/>
      <c r="D56" s="41"/>
      <c r="E56" s="44"/>
    </row>
    <row r="57" spans="3:5" x14ac:dyDescent="0.45">
      <c r="C57" s="43"/>
      <c r="D57" s="41"/>
      <c r="E57" s="44"/>
    </row>
    <row r="58" spans="3:5" x14ac:dyDescent="0.45">
      <c r="C58" s="43"/>
      <c r="D58" s="41"/>
      <c r="E58" s="44"/>
    </row>
    <row r="59" spans="3:5" x14ac:dyDescent="0.45">
      <c r="C59" s="43"/>
      <c r="D59" s="41"/>
      <c r="E59" s="44"/>
    </row>
    <row r="60" spans="3:5" x14ac:dyDescent="0.45">
      <c r="C60" s="43"/>
      <c r="D60" s="41"/>
      <c r="E60" s="44"/>
    </row>
    <row r="61" spans="3:5" x14ac:dyDescent="0.45">
      <c r="C61" s="43"/>
      <c r="D61" s="41"/>
      <c r="E61" s="44"/>
    </row>
    <row r="62" spans="3:5" x14ac:dyDescent="0.45">
      <c r="C62" s="43"/>
      <c r="D62" s="41"/>
      <c r="E62" s="44"/>
    </row>
    <row r="63" spans="3:5" x14ac:dyDescent="0.45">
      <c r="C63" s="43"/>
      <c r="D63" s="41"/>
      <c r="E63" s="44"/>
    </row>
    <row r="64" spans="3:5" x14ac:dyDescent="0.45">
      <c r="C64" s="43"/>
      <c r="D64" s="41"/>
      <c r="E64" s="44"/>
    </row>
    <row r="65" spans="3:5" x14ac:dyDescent="0.45">
      <c r="C65" s="43"/>
      <c r="D65" s="41"/>
      <c r="E65" s="44"/>
    </row>
    <row r="66" spans="3:5" x14ac:dyDescent="0.45">
      <c r="C66" s="43"/>
      <c r="D66" s="41"/>
      <c r="E66" s="44"/>
    </row>
    <row r="67" spans="3:5" x14ac:dyDescent="0.45">
      <c r="C67" s="43"/>
      <c r="D67" s="41"/>
      <c r="E67" s="44"/>
    </row>
    <row r="68" spans="3:5" x14ac:dyDescent="0.45">
      <c r="C68" s="43"/>
      <c r="D68" s="41"/>
      <c r="E68" s="44"/>
    </row>
    <row r="69" spans="3:5" x14ac:dyDescent="0.45">
      <c r="C69" s="43"/>
      <c r="D69" s="41"/>
      <c r="E69" s="44"/>
    </row>
    <row r="70" spans="3:5" x14ac:dyDescent="0.45">
      <c r="C70" s="43"/>
      <c r="D70" s="41"/>
      <c r="E70" s="44"/>
    </row>
    <row r="71" spans="3:5" x14ac:dyDescent="0.45">
      <c r="C71" s="43"/>
      <c r="D71" s="41"/>
      <c r="E71" s="44"/>
    </row>
    <row r="72" spans="3:5" x14ac:dyDescent="0.45">
      <c r="C72" s="43"/>
      <c r="D72" s="41"/>
      <c r="E72" s="44"/>
    </row>
    <row r="73" spans="3:5" x14ac:dyDescent="0.45">
      <c r="C73" s="43"/>
      <c r="D73" s="41"/>
      <c r="E73" s="44"/>
    </row>
    <row r="74" spans="3:5" x14ac:dyDescent="0.45">
      <c r="C74" s="43"/>
      <c r="D74" s="41"/>
      <c r="E74" s="44"/>
    </row>
    <row r="75" spans="3:5" x14ac:dyDescent="0.45">
      <c r="C75" s="43"/>
      <c r="D75" s="41"/>
      <c r="E75" s="44"/>
    </row>
    <row r="76" spans="3:5" x14ac:dyDescent="0.45">
      <c r="C76" s="43"/>
      <c r="D76" s="41"/>
      <c r="E76" s="44"/>
    </row>
    <row r="77" spans="3:5" x14ac:dyDescent="0.45">
      <c r="C77" s="43"/>
      <c r="D77" s="41"/>
      <c r="E77" s="44"/>
    </row>
    <row r="78" spans="3:5" x14ac:dyDescent="0.45">
      <c r="C78" s="43"/>
      <c r="D78" s="41"/>
      <c r="E78" s="44"/>
    </row>
    <row r="79" spans="3:5" x14ac:dyDescent="0.45">
      <c r="C79" s="43"/>
      <c r="D79" s="41"/>
      <c r="E79" s="44"/>
    </row>
    <row r="80" spans="3:5" x14ac:dyDescent="0.45">
      <c r="C80" s="43"/>
      <c r="D80" s="41"/>
      <c r="E80" s="44"/>
    </row>
    <row r="81" spans="3:5" x14ac:dyDescent="0.45">
      <c r="C81" s="43"/>
      <c r="D81" s="41"/>
      <c r="E81" s="44"/>
    </row>
    <row r="82" spans="3:5" x14ac:dyDescent="0.45">
      <c r="C82" s="43"/>
      <c r="D82" s="41"/>
      <c r="E82" s="44"/>
    </row>
    <row r="83" spans="3:5" x14ac:dyDescent="0.45">
      <c r="C83" s="43"/>
      <c r="D83" s="41"/>
      <c r="E83" s="44"/>
    </row>
    <row r="84" spans="3:5" x14ac:dyDescent="0.45">
      <c r="C84" s="43"/>
      <c r="D84" s="41"/>
      <c r="E84" s="44"/>
    </row>
    <row r="85" spans="3:5" x14ac:dyDescent="0.45">
      <c r="C85" s="43"/>
      <c r="D85" s="41"/>
      <c r="E85" s="44"/>
    </row>
    <row r="86" spans="3:5" x14ac:dyDescent="0.45">
      <c r="C86" s="43"/>
      <c r="D86" s="41"/>
      <c r="E86" s="44"/>
    </row>
    <row r="87" spans="3:5" x14ac:dyDescent="0.45">
      <c r="C87" s="43"/>
      <c r="D87" s="41"/>
      <c r="E87" s="44"/>
    </row>
    <row r="88" spans="3:5" x14ac:dyDescent="0.45">
      <c r="C88" s="43"/>
      <c r="D88" s="41"/>
      <c r="E88" s="44"/>
    </row>
    <row r="89" spans="3:5" x14ac:dyDescent="0.45">
      <c r="C89" s="43"/>
      <c r="D89" s="41"/>
      <c r="E89" s="44"/>
    </row>
    <row r="90" spans="3:5" x14ac:dyDescent="0.45">
      <c r="C90" s="43"/>
      <c r="D90" s="41"/>
      <c r="E90" s="44"/>
    </row>
    <row r="91" spans="3:5" x14ac:dyDescent="0.45">
      <c r="C91" s="43"/>
      <c r="D91" s="41"/>
      <c r="E91" s="44"/>
    </row>
    <row r="92" spans="3:5" x14ac:dyDescent="0.45">
      <c r="C92" s="43"/>
      <c r="D92" s="41"/>
      <c r="E92" s="44"/>
    </row>
    <row r="93" spans="3:5" x14ac:dyDescent="0.45">
      <c r="C93" s="43"/>
      <c r="D93" s="41"/>
      <c r="E93" s="44"/>
    </row>
    <row r="94" spans="3:5" x14ac:dyDescent="0.45">
      <c r="C94" s="43"/>
      <c r="D94" s="41"/>
      <c r="E94" s="44"/>
    </row>
    <row r="95" spans="3:5" x14ac:dyDescent="0.45">
      <c r="C95" s="43"/>
      <c r="D95" s="41"/>
      <c r="E95" s="44"/>
    </row>
    <row r="96" spans="3:5" x14ac:dyDescent="0.45">
      <c r="C96" s="43"/>
      <c r="D96" s="41"/>
      <c r="E96" s="44"/>
    </row>
    <row r="97" spans="3:5" x14ac:dyDescent="0.45">
      <c r="C97" s="43"/>
      <c r="D97" s="41"/>
      <c r="E97" s="44"/>
    </row>
    <row r="98" spans="3:5" x14ac:dyDescent="0.45">
      <c r="C98" s="43"/>
      <c r="D98" s="41"/>
      <c r="E98" s="44"/>
    </row>
    <row r="99" spans="3:5" x14ac:dyDescent="0.45">
      <c r="C99" s="43"/>
      <c r="D99" s="41"/>
      <c r="E99" s="44"/>
    </row>
    <row r="100" spans="3:5" x14ac:dyDescent="0.45">
      <c r="C100" s="43"/>
      <c r="D100" s="41"/>
      <c r="E100" s="44"/>
    </row>
    <row r="101" spans="3:5" x14ac:dyDescent="0.45">
      <c r="C101" s="43"/>
      <c r="D101" s="41"/>
      <c r="E101" s="44"/>
    </row>
    <row r="102" spans="3:5" x14ac:dyDescent="0.45">
      <c r="C102" s="43"/>
      <c r="D102" s="41"/>
      <c r="E102" s="44"/>
    </row>
    <row r="103" spans="3:5" x14ac:dyDescent="0.45">
      <c r="C103" s="43"/>
      <c r="D103" s="41"/>
      <c r="E103" s="44"/>
    </row>
    <row r="104" spans="3:5" x14ac:dyDescent="0.45">
      <c r="C104" s="43"/>
      <c r="D104" s="41"/>
      <c r="E104" s="44"/>
    </row>
    <row r="105" spans="3:5" x14ac:dyDescent="0.45">
      <c r="C105" s="43"/>
      <c r="D105" s="41"/>
      <c r="E105" s="44"/>
    </row>
    <row r="106" spans="3:5" x14ac:dyDescent="0.45">
      <c r="C106" s="43"/>
      <c r="D106" s="41"/>
      <c r="E106" s="44"/>
    </row>
    <row r="107" spans="3:5" x14ac:dyDescent="0.45">
      <c r="C107" s="43"/>
      <c r="D107" s="41"/>
      <c r="E107" s="44"/>
    </row>
    <row r="108" spans="3:5" x14ac:dyDescent="0.45">
      <c r="C108" s="43"/>
      <c r="D108" s="41"/>
      <c r="E108" s="44"/>
    </row>
    <row r="109" spans="3:5" x14ac:dyDescent="0.45">
      <c r="C109" s="39"/>
      <c r="E109" s="40"/>
    </row>
    <row r="110" spans="3:5" x14ac:dyDescent="0.45">
      <c r="C110" s="39"/>
      <c r="E110" s="40"/>
    </row>
    <row r="111" spans="3:5" x14ac:dyDescent="0.45">
      <c r="C111" s="39"/>
      <c r="E111" s="40"/>
    </row>
    <row r="112" spans="3:5" x14ac:dyDescent="0.45">
      <c r="C112" s="39"/>
      <c r="E112" s="40"/>
    </row>
    <row r="113" spans="3:5" x14ac:dyDescent="0.45">
      <c r="C113" s="39"/>
      <c r="E113" s="40"/>
    </row>
    <row r="114" spans="3:5" x14ac:dyDescent="0.45">
      <c r="C114" s="39"/>
      <c r="E114" s="40"/>
    </row>
    <row r="115" spans="3:5" x14ac:dyDescent="0.45">
      <c r="C115" s="39"/>
      <c r="E115" s="40"/>
    </row>
    <row r="116" spans="3:5" x14ac:dyDescent="0.45">
      <c r="C116" s="39"/>
      <c r="E116" s="40"/>
    </row>
    <row r="117" spans="3:5" x14ac:dyDescent="0.45">
      <c r="C117" s="39"/>
      <c r="E117" s="40"/>
    </row>
    <row r="118" spans="3:5" x14ac:dyDescent="0.45">
      <c r="C118" s="39"/>
      <c r="E118" s="40"/>
    </row>
    <row r="119" spans="3:5" x14ac:dyDescent="0.45">
      <c r="C119" s="39"/>
      <c r="E119" s="40"/>
    </row>
    <row r="120" spans="3:5" x14ac:dyDescent="0.45">
      <c r="C120" s="39"/>
      <c r="E120" s="40"/>
    </row>
    <row r="121" spans="3:5" x14ac:dyDescent="0.45">
      <c r="C121" s="39"/>
      <c r="E121" s="40"/>
    </row>
    <row r="122" spans="3:5" x14ac:dyDescent="0.45">
      <c r="C122" s="39"/>
      <c r="E122" s="40"/>
    </row>
    <row r="123" spans="3:5" x14ac:dyDescent="0.45">
      <c r="C123" s="39"/>
      <c r="E123" s="40"/>
    </row>
    <row r="124" spans="3:5" x14ac:dyDescent="0.45">
      <c r="C124" s="39"/>
      <c r="E124" s="40"/>
    </row>
    <row r="125" spans="3:5" x14ac:dyDescent="0.45">
      <c r="C125" s="39"/>
      <c r="E125" s="40"/>
    </row>
    <row r="126" spans="3:5" x14ac:dyDescent="0.45">
      <c r="C126" s="39"/>
      <c r="E126" s="40"/>
    </row>
    <row r="127" spans="3:5" x14ac:dyDescent="0.45">
      <c r="C127" s="39"/>
      <c r="E127" s="40"/>
    </row>
    <row r="128" spans="3:5" x14ac:dyDescent="0.45">
      <c r="C128" s="39"/>
      <c r="E128" s="40"/>
    </row>
    <row r="129" spans="3:5" x14ac:dyDescent="0.45">
      <c r="C129" s="39"/>
      <c r="E129" s="40"/>
    </row>
    <row r="130" spans="3:5" x14ac:dyDescent="0.45">
      <c r="C130" s="39"/>
      <c r="E130" s="40"/>
    </row>
    <row r="131" spans="3:5" x14ac:dyDescent="0.45">
      <c r="C131" s="39"/>
      <c r="E131" s="40"/>
    </row>
    <row r="132" spans="3:5" x14ac:dyDescent="0.45">
      <c r="C132" s="39"/>
      <c r="E132" s="40"/>
    </row>
    <row r="133" spans="3:5" x14ac:dyDescent="0.45">
      <c r="C133" s="39"/>
      <c r="E133" s="40"/>
    </row>
    <row r="134" spans="3:5" x14ac:dyDescent="0.45">
      <c r="C134" s="39"/>
      <c r="E134" s="40"/>
    </row>
    <row r="135" spans="3:5" x14ac:dyDescent="0.45">
      <c r="C135" s="39"/>
      <c r="E135" s="40"/>
    </row>
    <row r="136" spans="3:5" x14ac:dyDescent="0.45">
      <c r="C136" s="39"/>
      <c r="E136" s="40"/>
    </row>
    <row r="137" spans="3:5" x14ac:dyDescent="0.45">
      <c r="C137" s="39"/>
      <c r="E137" s="40"/>
    </row>
    <row r="138" spans="3:5" x14ac:dyDescent="0.45">
      <c r="C138" s="39"/>
      <c r="E138" s="40"/>
    </row>
    <row r="139" spans="3:5" x14ac:dyDescent="0.45">
      <c r="C139" s="39"/>
      <c r="E139" s="40"/>
    </row>
    <row r="140" spans="3:5" x14ac:dyDescent="0.45">
      <c r="C140" s="39"/>
      <c r="E140" s="40"/>
    </row>
    <row r="141" spans="3:5" x14ac:dyDescent="0.45">
      <c r="C141" s="39"/>
      <c r="E141" s="40"/>
    </row>
    <row r="142" spans="3:5" x14ac:dyDescent="0.45">
      <c r="C142" s="39"/>
      <c r="E142" s="40"/>
    </row>
    <row r="143" spans="3:5" x14ac:dyDescent="0.45">
      <c r="C143" s="39"/>
      <c r="E143" s="40"/>
    </row>
    <row r="144" spans="3:5" x14ac:dyDescent="0.45">
      <c r="C144" s="39"/>
      <c r="E144" s="40"/>
    </row>
    <row r="145" spans="3:5" x14ac:dyDescent="0.45">
      <c r="C145" s="39"/>
      <c r="E145" s="40"/>
    </row>
    <row r="146" spans="3:5" x14ac:dyDescent="0.45">
      <c r="C146" s="39"/>
      <c r="E146" s="40"/>
    </row>
    <row r="147" spans="3:5" x14ac:dyDescent="0.45">
      <c r="C147" s="39"/>
      <c r="E147" s="40"/>
    </row>
    <row r="148" spans="3:5" x14ac:dyDescent="0.45">
      <c r="C148" s="39"/>
      <c r="E148" s="40"/>
    </row>
    <row r="149" spans="3:5" x14ac:dyDescent="0.45">
      <c r="C149" s="39"/>
      <c r="E149" s="40"/>
    </row>
    <row r="150" spans="3:5" x14ac:dyDescent="0.45">
      <c r="C150" s="39"/>
      <c r="E150" s="40"/>
    </row>
    <row r="151" spans="3:5" x14ac:dyDescent="0.45">
      <c r="C151" s="39"/>
      <c r="E151" s="40"/>
    </row>
    <row r="152" spans="3:5" x14ac:dyDescent="0.45">
      <c r="C152" s="39"/>
      <c r="E152" s="40"/>
    </row>
    <row r="153" spans="3:5" x14ac:dyDescent="0.45">
      <c r="C153" s="39"/>
      <c r="E153" s="40"/>
    </row>
    <row r="154" spans="3:5" x14ac:dyDescent="0.45">
      <c r="C154" s="39"/>
      <c r="E154" s="40"/>
    </row>
    <row r="155" spans="3:5" x14ac:dyDescent="0.45">
      <c r="C155" s="39"/>
      <c r="E155" s="40"/>
    </row>
    <row r="156" spans="3:5" x14ac:dyDescent="0.45">
      <c r="C156" s="39"/>
      <c r="E156" s="40"/>
    </row>
    <row r="157" spans="3:5" x14ac:dyDescent="0.45">
      <c r="C157" s="39"/>
      <c r="E157" s="40"/>
    </row>
    <row r="158" spans="3:5" x14ac:dyDescent="0.45">
      <c r="C158" s="39"/>
      <c r="E158" s="40"/>
    </row>
    <row r="159" spans="3:5" x14ac:dyDescent="0.45">
      <c r="C159" s="39"/>
      <c r="E159" s="40"/>
    </row>
    <row r="160" spans="3:5" x14ac:dyDescent="0.45">
      <c r="C160" s="39"/>
      <c r="E160" s="40"/>
    </row>
    <row r="161" spans="3:5" x14ac:dyDescent="0.45">
      <c r="C161" s="39"/>
      <c r="E161" s="40"/>
    </row>
    <row r="162" spans="3:5" x14ac:dyDescent="0.45">
      <c r="C162" s="39"/>
      <c r="E162" s="40"/>
    </row>
    <row r="163" spans="3:5" x14ac:dyDescent="0.45">
      <c r="C163" s="39"/>
      <c r="E163" s="40"/>
    </row>
    <row r="164" spans="3:5" x14ac:dyDescent="0.45">
      <c r="C164" s="39"/>
      <c r="E164" s="40"/>
    </row>
    <row r="165" spans="3:5" x14ac:dyDescent="0.45">
      <c r="C165" s="39"/>
      <c r="E165" s="40"/>
    </row>
    <row r="166" spans="3:5" x14ac:dyDescent="0.45">
      <c r="C166" s="39"/>
      <c r="E166" s="40"/>
    </row>
    <row r="167" spans="3:5" x14ac:dyDescent="0.45">
      <c r="C167" s="39"/>
      <c r="E167" s="40"/>
    </row>
    <row r="168" spans="3:5" x14ac:dyDescent="0.45">
      <c r="C168" s="39"/>
      <c r="E168" s="40"/>
    </row>
    <row r="169" spans="3:5" x14ac:dyDescent="0.45">
      <c r="C169" s="39"/>
      <c r="E169" s="40"/>
    </row>
    <row r="170" spans="3:5" x14ac:dyDescent="0.45">
      <c r="C170" s="39"/>
      <c r="E170" s="40"/>
    </row>
    <row r="171" spans="3:5" x14ac:dyDescent="0.45">
      <c r="C171" s="39"/>
      <c r="E171" s="40"/>
    </row>
    <row r="172" spans="3:5" x14ac:dyDescent="0.45">
      <c r="C172" s="39"/>
      <c r="E172" s="40"/>
    </row>
    <row r="173" spans="3:5" x14ac:dyDescent="0.45">
      <c r="C173" s="39"/>
      <c r="E173" s="40"/>
    </row>
    <row r="174" spans="3:5" x14ac:dyDescent="0.45">
      <c r="C174" s="39"/>
      <c r="E174" s="40"/>
    </row>
    <row r="175" spans="3:5" x14ac:dyDescent="0.45">
      <c r="C175" s="39"/>
      <c r="E175" s="40"/>
    </row>
    <row r="176" spans="3:5" x14ac:dyDescent="0.45">
      <c r="C176" s="39"/>
      <c r="E176" s="40"/>
    </row>
    <row r="177" spans="3:5" x14ac:dyDescent="0.45">
      <c r="C177" s="39"/>
      <c r="E177" s="40"/>
    </row>
    <row r="178" spans="3:5" x14ac:dyDescent="0.45">
      <c r="C178" s="39"/>
      <c r="E178" s="40"/>
    </row>
    <row r="179" spans="3:5" x14ac:dyDescent="0.45">
      <c r="C179" s="39"/>
      <c r="E179" s="40"/>
    </row>
    <row r="180" spans="3:5" x14ac:dyDescent="0.45">
      <c r="C180" s="39"/>
      <c r="E180" s="40"/>
    </row>
    <row r="181" spans="3:5" x14ac:dyDescent="0.45">
      <c r="C181" s="39"/>
      <c r="E181" s="40"/>
    </row>
    <row r="182" spans="3:5" x14ac:dyDescent="0.45">
      <c r="C182" s="39"/>
      <c r="E182" s="40"/>
    </row>
    <row r="183" spans="3:5" x14ac:dyDescent="0.45">
      <c r="C183" s="39"/>
      <c r="E183" s="40"/>
    </row>
    <row r="184" spans="3:5" x14ac:dyDescent="0.45">
      <c r="C184" s="39"/>
      <c r="E184" s="40"/>
    </row>
    <row r="185" spans="3:5" x14ac:dyDescent="0.45">
      <c r="C185" s="39"/>
      <c r="E185" s="40"/>
    </row>
    <row r="186" spans="3:5" x14ac:dyDescent="0.45">
      <c r="C186" s="39"/>
      <c r="E186" s="40"/>
    </row>
    <row r="187" spans="3:5" x14ac:dyDescent="0.45">
      <c r="C187" s="39"/>
      <c r="E187" s="40"/>
    </row>
    <row r="188" spans="3:5" x14ac:dyDescent="0.45">
      <c r="C188" s="39"/>
      <c r="E188" s="40"/>
    </row>
    <row r="189" spans="3:5" x14ac:dyDescent="0.45">
      <c r="C189" s="39"/>
      <c r="E189" s="40"/>
    </row>
    <row r="190" spans="3:5" x14ac:dyDescent="0.45">
      <c r="C190" s="39"/>
      <c r="E190" s="40"/>
    </row>
    <row r="191" spans="3:5" x14ac:dyDescent="0.45">
      <c r="C191" s="39"/>
      <c r="E191" s="40"/>
    </row>
    <row r="192" spans="3:5" x14ac:dyDescent="0.45">
      <c r="C192" s="39"/>
      <c r="E192" s="40"/>
    </row>
    <row r="193" spans="3:5" x14ac:dyDescent="0.45">
      <c r="C193" s="39"/>
      <c r="E193" s="40"/>
    </row>
    <row r="194" spans="3:5" x14ac:dyDescent="0.45">
      <c r="C194" s="39"/>
      <c r="E194" s="40"/>
    </row>
    <row r="195" spans="3:5" x14ac:dyDescent="0.45">
      <c r="C195" s="39"/>
      <c r="E195" s="40"/>
    </row>
    <row r="196" spans="3:5" x14ac:dyDescent="0.45">
      <c r="C196" s="39"/>
      <c r="E196" s="40"/>
    </row>
    <row r="197" spans="3:5" x14ac:dyDescent="0.45">
      <c r="C197" s="39"/>
      <c r="E197" s="40"/>
    </row>
    <row r="198" spans="3:5" x14ac:dyDescent="0.45">
      <c r="C198" s="39"/>
      <c r="E198" s="40"/>
    </row>
    <row r="199" spans="3:5" x14ac:dyDescent="0.45">
      <c r="C199" s="39"/>
      <c r="E199" s="40"/>
    </row>
    <row r="200" spans="3:5" x14ac:dyDescent="0.45">
      <c r="C200" s="39"/>
      <c r="E200" s="40"/>
    </row>
    <row r="201" spans="3:5" x14ac:dyDescent="0.45">
      <c r="C201" s="39"/>
      <c r="E201" s="40"/>
    </row>
    <row r="202" spans="3:5" x14ac:dyDescent="0.45">
      <c r="C202" s="39"/>
      <c r="E202" s="40"/>
    </row>
    <row r="203" spans="3:5" x14ac:dyDescent="0.45">
      <c r="C203" s="39"/>
      <c r="E203" s="40"/>
    </row>
    <row r="204" spans="3:5" x14ac:dyDescent="0.45">
      <c r="C204" s="39"/>
      <c r="E204" s="40"/>
    </row>
    <row r="205" spans="3:5" x14ac:dyDescent="0.45">
      <c r="C205" s="39"/>
      <c r="E205" s="40"/>
    </row>
    <row r="206" spans="3:5" x14ac:dyDescent="0.45">
      <c r="C206" s="39"/>
      <c r="E206" s="40"/>
    </row>
    <row r="207" spans="3:5" x14ac:dyDescent="0.45">
      <c r="C207" s="39"/>
      <c r="E207" s="40"/>
    </row>
    <row r="208" spans="3:5" x14ac:dyDescent="0.45">
      <c r="C208" s="39"/>
      <c r="E208" s="40"/>
    </row>
    <row r="209" spans="3:5" x14ac:dyDescent="0.45">
      <c r="C209" s="39"/>
      <c r="E209" s="40"/>
    </row>
    <row r="210" spans="3:5" x14ac:dyDescent="0.45">
      <c r="C210" s="39"/>
      <c r="E210" s="40"/>
    </row>
    <row r="211" spans="3:5" x14ac:dyDescent="0.45">
      <c r="C211" s="39"/>
      <c r="E211" s="40"/>
    </row>
    <row r="212" spans="3:5" x14ac:dyDescent="0.45">
      <c r="C212" s="39"/>
      <c r="E212" s="40"/>
    </row>
    <row r="213" spans="3:5" x14ac:dyDescent="0.45">
      <c r="C213" s="39"/>
      <c r="E213" s="40"/>
    </row>
    <row r="214" spans="3:5" x14ac:dyDescent="0.45">
      <c r="C214" s="39"/>
      <c r="E214" s="40"/>
    </row>
    <row r="215" spans="3:5" x14ac:dyDescent="0.45">
      <c r="C215" s="39"/>
      <c r="E215" s="40"/>
    </row>
    <row r="216" spans="3:5" x14ac:dyDescent="0.45">
      <c r="C216" s="39"/>
      <c r="E216" s="40"/>
    </row>
    <row r="217" spans="3:5" x14ac:dyDescent="0.45">
      <c r="C217" s="39"/>
      <c r="E217" s="40"/>
    </row>
    <row r="218" spans="3:5" x14ac:dyDescent="0.45">
      <c r="C218" s="39"/>
      <c r="E218" s="40"/>
    </row>
    <row r="219" spans="3:5" x14ac:dyDescent="0.45">
      <c r="C219" s="39"/>
      <c r="E219" s="40"/>
    </row>
    <row r="220" spans="3:5" x14ac:dyDescent="0.45">
      <c r="C220" s="39"/>
      <c r="E220" s="40"/>
    </row>
    <row r="221" spans="3:5" x14ac:dyDescent="0.45">
      <c r="C221" s="39"/>
      <c r="E221" s="40"/>
    </row>
    <row r="222" spans="3:5" x14ac:dyDescent="0.45">
      <c r="C222" s="39"/>
      <c r="E222" s="40"/>
    </row>
    <row r="223" spans="3:5" x14ac:dyDescent="0.45">
      <c r="C223" s="39"/>
    </row>
    <row r="224" spans="3:5" x14ac:dyDescent="0.45">
      <c r="C224" s="39"/>
    </row>
    <row r="225" spans="3:3" x14ac:dyDescent="0.45">
      <c r="C225" s="39"/>
    </row>
    <row r="226" spans="3:3" x14ac:dyDescent="0.45">
      <c r="C226" s="39"/>
    </row>
    <row r="227" spans="3:3" x14ac:dyDescent="0.45">
      <c r="C227" s="39"/>
    </row>
    <row r="228" spans="3:3" x14ac:dyDescent="0.45">
      <c r="C228" s="39"/>
    </row>
    <row r="229" spans="3:3" x14ac:dyDescent="0.45">
      <c r="C229" s="39"/>
    </row>
    <row r="230" spans="3:3" x14ac:dyDescent="0.45">
      <c r="C230" s="39"/>
    </row>
    <row r="231" spans="3:3" x14ac:dyDescent="0.45">
      <c r="C231" s="39"/>
    </row>
    <row r="232" spans="3:3" x14ac:dyDescent="0.45">
      <c r="C232" s="39"/>
    </row>
    <row r="233" spans="3:3" x14ac:dyDescent="0.45">
      <c r="C233" s="39"/>
    </row>
    <row r="234" spans="3:3" x14ac:dyDescent="0.45">
      <c r="C234" s="39"/>
    </row>
    <row r="235" spans="3:3" x14ac:dyDescent="0.45">
      <c r="C235" s="39"/>
    </row>
    <row r="236" spans="3:3" x14ac:dyDescent="0.45">
      <c r="C236" s="39"/>
    </row>
    <row r="237" spans="3:3" x14ac:dyDescent="0.45">
      <c r="C237" s="39"/>
    </row>
    <row r="238" spans="3:3" x14ac:dyDescent="0.45">
      <c r="C238" s="39"/>
    </row>
    <row r="239" spans="3:3" x14ac:dyDescent="0.45">
      <c r="C239" s="39"/>
    </row>
    <row r="240" spans="3:3" x14ac:dyDescent="0.45">
      <c r="C240" s="39"/>
    </row>
    <row r="241" spans="3:3" x14ac:dyDescent="0.45">
      <c r="C241" s="39"/>
    </row>
    <row r="242" spans="3:3" x14ac:dyDescent="0.45">
      <c r="C242" s="39"/>
    </row>
    <row r="243" spans="3:3" x14ac:dyDescent="0.45">
      <c r="C243" s="39"/>
    </row>
    <row r="244" spans="3:3" x14ac:dyDescent="0.45">
      <c r="C244" s="39"/>
    </row>
    <row r="245" spans="3:3" x14ac:dyDescent="0.45">
      <c r="C245" s="39"/>
    </row>
    <row r="246" spans="3:3" x14ac:dyDescent="0.45">
      <c r="C246" s="39"/>
    </row>
    <row r="247" spans="3:3" x14ac:dyDescent="0.45">
      <c r="C247" s="39"/>
    </row>
    <row r="248" spans="3:3" x14ac:dyDescent="0.45">
      <c r="C248" s="39"/>
    </row>
    <row r="249" spans="3:3" x14ac:dyDescent="0.45">
      <c r="C249" s="39"/>
    </row>
    <row r="250" spans="3:3" x14ac:dyDescent="0.45">
      <c r="C250" s="39"/>
    </row>
    <row r="251" spans="3:3" x14ac:dyDescent="0.45">
      <c r="C251" s="39"/>
    </row>
    <row r="252" spans="3:3" x14ac:dyDescent="0.45">
      <c r="C252" s="39"/>
    </row>
    <row r="253" spans="3:3" x14ac:dyDescent="0.45">
      <c r="C253" s="39"/>
    </row>
    <row r="254" spans="3:3" x14ac:dyDescent="0.45">
      <c r="C254" s="39"/>
    </row>
    <row r="255" spans="3:3" x14ac:dyDescent="0.45">
      <c r="C255" s="39"/>
    </row>
    <row r="256" spans="3:3" x14ac:dyDescent="0.45">
      <c r="C256" s="39"/>
    </row>
    <row r="257" spans="3:3" x14ac:dyDescent="0.45">
      <c r="C257" s="39"/>
    </row>
    <row r="258" spans="3:3" x14ac:dyDescent="0.45">
      <c r="C258" s="39"/>
    </row>
    <row r="259" spans="3:3" x14ac:dyDescent="0.45">
      <c r="C259" s="39"/>
    </row>
    <row r="260" spans="3:3" x14ac:dyDescent="0.45">
      <c r="C260" s="39"/>
    </row>
    <row r="261" spans="3:3" x14ac:dyDescent="0.45">
      <c r="C261" s="39"/>
    </row>
    <row r="262" spans="3:3" x14ac:dyDescent="0.45">
      <c r="C262" s="39"/>
    </row>
    <row r="263" spans="3:3" x14ac:dyDescent="0.45">
      <c r="C263" s="39"/>
    </row>
    <row r="264" spans="3:3" x14ac:dyDescent="0.45">
      <c r="C264" s="39"/>
    </row>
    <row r="265" spans="3:3" x14ac:dyDescent="0.45">
      <c r="C265" s="39"/>
    </row>
    <row r="266" spans="3:3" x14ac:dyDescent="0.45">
      <c r="C266" s="39"/>
    </row>
    <row r="267" spans="3:3" x14ac:dyDescent="0.45">
      <c r="C267" s="39"/>
    </row>
    <row r="268" spans="3:3" x14ac:dyDescent="0.45">
      <c r="C268" s="39"/>
    </row>
    <row r="269" spans="3:3" x14ac:dyDescent="0.45">
      <c r="C269" s="39"/>
    </row>
    <row r="270" spans="3:3" x14ac:dyDescent="0.45">
      <c r="C270" s="39"/>
    </row>
    <row r="271" spans="3:3" x14ac:dyDescent="0.45">
      <c r="C271" s="39"/>
    </row>
    <row r="272" spans="3:3" x14ac:dyDescent="0.45">
      <c r="C272" s="39"/>
    </row>
    <row r="273" spans="3:3" x14ac:dyDescent="0.45">
      <c r="C273" s="39"/>
    </row>
    <row r="274" spans="3:3" x14ac:dyDescent="0.45">
      <c r="C274" s="39"/>
    </row>
    <row r="275" spans="3:3" x14ac:dyDescent="0.45">
      <c r="C275" s="39"/>
    </row>
    <row r="276" spans="3:3" x14ac:dyDescent="0.45">
      <c r="C276" s="39"/>
    </row>
    <row r="277" spans="3:3" x14ac:dyDescent="0.45">
      <c r="C277" s="39"/>
    </row>
    <row r="278" spans="3:3" x14ac:dyDescent="0.45">
      <c r="C278" s="39"/>
    </row>
    <row r="279" spans="3:3" x14ac:dyDescent="0.45">
      <c r="C279" s="39"/>
    </row>
    <row r="280" spans="3:3" x14ac:dyDescent="0.45">
      <c r="C280" s="39"/>
    </row>
    <row r="281" spans="3:3" x14ac:dyDescent="0.45">
      <c r="C281" s="39"/>
    </row>
    <row r="282" spans="3:3" x14ac:dyDescent="0.45">
      <c r="C282" s="39"/>
    </row>
    <row r="283" spans="3:3" x14ac:dyDescent="0.45">
      <c r="C283" s="39"/>
    </row>
    <row r="284" spans="3:3" x14ac:dyDescent="0.45">
      <c r="C284" s="39"/>
    </row>
    <row r="285" spans="3:3" x14ac:dyDescent="0.45">
      <c r="C285" s="39"/>
    </row>
    <row r="286" spans="3:3" x14ac:dyDescent="0.45">
      <c r="C286" s="39"/>
    </row>
    <row r="287" spans="3:3" x14ac:dyDescent="0.45">
      <c r="C287" s="39"/>
    </row>
    <row r="288" spans="3:3" x14ac:dyDescent="0.45">
      <c r="C288" s="39"/>
    </row>
    <row r="289" spans="3:3" x14ac:dyDescent="0.45">
      <c r="C289" s="39"/>
    </row>
    <row r="290" spans="3:3" x14ac:dyDescent="0.45">
      <c r="C290" s="39"/>
    </row>
    <row r="291" spans="3:3" x14ac:dyDescent="0.45">
      <c r="C291" s="39"/>
    </row>
    <row r="292" spans="3:3" x14ac:dyDescent="0.45">
      <c r="C292" s="39"/>
    </row>
    <row r="293" spans="3:3" x14ac:dyDescent="0.45">
      <c r="C293" s="39"/>
    </row>
    <row r="294" spans="3:3" x14ac:dyDescent="0.45">
      <c r="C294" s="39"/>
    </row>
  </sheetData>
  <dataValidations count="1">
    <dataValidation type="whole" allowBlank="1" showInputMessage="1" showErrorMessage="1" sqref="F2" xr:uid="{D536BFD5-540E-41A5-BF7F-D8C0C42A76BC}">
      <formula1>2</formula1>
      <formula2>100</formula2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CCFD-87F3-40E4-AF9F-551E9731F1C5}">
  <sheetPr>
    <tabColor theme="9" tint="0.59999389629810485"/>
  </sheetPr>
  <dimension ref="C1:O295"/>
  <sheetViews>
    <sheetView showGridLines="0" zoomScaleNormal="100" workbookViewId="0">
      <selection activeCell="E4" sqref="E4"/>
    </sheetView>
  </sheetViews>
  <sheetFormatPr defaultRowHeight="22.5" x14ac:dyDescent="0.45"/>
  <cols>
    <col min="1" max="1" width="9.140625" style="34"/>
    <col min="2" max="2" width="1.140625" style="34" customWidth="1"/>
    <col min="3" max="3" width="13.7109375" style="72" customWidth="1"/>
    <col min="4" max="4" width="15.7109375" style="71" customWidth="1"/>
    <col min="5" max="8" width="15.7109375" style="34" customWidth="1"/>
    <col min="9" max="9" width="10" style="34" bestFit="1" customWidth="1"/>
    <col min="10" max="17" width="9.140625" style="34"/>
    <col min="18" max="18" width="11.85546875" style="34" bestFit="1" customWidth="1"/>
    <col min="19" max="16384" width="9.140625" style="34"/>
  </cols>
  <sheetData>
    <row r="1" spans="3:9" ht="7.5" customHeight="1" x14ac:dyDescent="0.45">
      <c r="C1" s="34"/>
      <c r="D1" s="34"/>
    </row>
    <row r="2" spans="3:9" ht="23.25" x14ac:dyDescent="0.45">
      <c r="C2" s="78" t="s">
        <v>0</v>
      </c>
      <c r="D2" s="36"/>
      <c r="E2" s="79">
        <v>10000</v>
      </c>
      <c r="F2" s="36"/>
      <c r="G2" s="78" t="s">
        <v>86</v>
      </c>
      <c r="H2" s="36"/>
      <c r="I2" s="77">
        <v>4</v>
      </c>
    </row>
    <row r="3" spans="3:9" x14ac:dyDescent="0.45">
      <c r="C3" s="35"/>
      <c r="D3" s="35"/>
      <c r="E3" s="35"/>
      <c r="F3" s="35"/>
      <c r="G3" s="35"/>
      <c r="H3" s="35"/>
    </row>
    <row r="4" spans="3:9" ht="24.75" x14ac:dyDescent="0.45">
      <c r="C4" s="76" t="s">
        <v>85</v>
      </c>
      <c r="D4" s="35"/>
      <c r="E4" s="70">
        <f>10^(1/10)-1</f>
        <v>0.25892541179416728</v>
      </c>
      <c r="F4" s="35"/>
    </row>
    <row r="5" spans="3:9" x14ac:dyDescent="0.45">
      <c r="C5" s="35"/>
      <c r="D5" s="35"/>
      <c r="E5" s="35"/>
      <c r="F5" s="35"/>
      <c r="G5" s="35"/>
      <c r="H5" s="35"/>
    </row>
    <row r="6" spans="3:9" x14ac:dyDescent="0.45">
      <c r="C6" s="34"/>
      <c r="D6" s="34"/>
      <c r="G6" s="35"/>
      <c r="H6" s="35"/>
    </row>
    <row r="7" spans="3:9" x14ac:dyDescent="0.45">
      <c r="C7" s="35"/>
      <c r="D7" s="35"/>
      <c r="E7" s="35"/>
      <c r="F7" s="35"/>
      <c r="G7" s="35"/>
      <c r="H7" s="35"/>
    </row>
    <row r="8" spans="3:9" x14ac:dyDescent="0.45">
      <c r="C8" s="75" cm="1">
        <f t="array" ref="C8:C48">_xlfn.SEQUENCE(10*I2+1,,0)</f>
        <v>0</v>
      </c>
      <c r="D8" s="74" cm="1">
        <f t="array" ref="D8:D48">$E$2*(1+E4)^_xlfn.ANCHORARRAY($C8)</f>
        <v>10000</v>
      </c>
      <c r="E8" s="35"/>
    </row>
    <row r="9" spans="3:9" ht="27.75" customHeight="1" x14ac:dyDescent="0.45">
      <c r="C9" s="75">
        <v>1</v>
      </c>
      <c r="D9" s="74">
        <v>12589.254117941673</v>
      </c>
      <c r="E9" s="35"/>
    </row>
    <row r="10" spans="3:9" x14ac:dyDescent="0.45">
      <c r="C10" s="75">
        <v>2</v>
      </c>
      <c r="D10" s="74">
        <v>15848.931924611135</v>
      </c>
      <c r="E10" s="35"/>
    </row>
    <row r="11" spans="3:9" x14ac:dyDescent="0.45">
      <c r="C11" s="75">
        <v>3</v>
      </c>
      <c r="D11" s="74">
        <v>19952.623149688799</v>
      </c>
      <c r="E11" s="35"/>
    </row>
    <row r="12" spans="3:9" x14ac:dyDescent="0.45">
      <c r="C12" s="75">
        <v>4</v>
      </c>
      <c r="D12" s="74">
        <v>25118.864315095805</v>
      </c>
      <c r="E12" s="35"/>
    </row>
    <row r="13" spans="3:9" x14ac:dyDescent="0.45">
      <c r="C13" s="75">
        <v>5</v>
      </c>
      <c r="D13" s="74">
        <v>31622.7766016838</v>
      </c>
      <c r="E13" s="35"/>
    </row>
    <row r="14" spans="3:9" x14ac:dyDescent="0.45">
      <c r="C14" s="75">
        <v>6</v>
      </c>
      <c r="D14" s="74">
        <v>39810.717055349734</v>
      </c>
      <c r="E14" s="35"/>
    </row>
    <row r="15" spans="3:9" x14ac:dyDescent="0.45">
      <c r="C15" s="75">
        <v>7</v>
      </c>
      <c r="D15" s="74">
        <v>50118.723362727244</v>
      </c>
      <c r="E15" s="35"/>
    </row>
    <row r="16" spans="3:9" x14ac:dyDescent="0.45">
      <c r="C16" s="75">
        <v>8</v>
      </c>
      <c r="D16" s="74">
        <v>63095.73444801935</v>
      </c>
      <c r="E16" s="35"/>
    </row>
    <row r="17" spans="3:15" x14ac:dyDescent="0.45">
      <c r="C17" s="75">
        <v>9</v>
      </c>
      <c r="D17" s="74">
        <v>79432.823472428179</v>
      </c>
      <c r="E17" s="35"/>
      <c r="O17" s="38"/>
    </row>
    <row r="18" spans="3:15" x14ac:dyDescent="0.45">
      <c r="C18" s="75">
        <v>10</v>
      </c>
      <c r="D18" s="74">
        <v>100000.00000000006</v>
      </c>
      <c r="E18" s="35"/>
    </row>
    <row r="19" spans="3:15" x14ac:dyDescent="0.45">
      <c r="C19" s="75">
        <v>11</v>
      </c>
      <c r="D19" s="74">
        <v>125892.5411794168</v>
      </c>
    </row>
    <row r="20" spans="3:15" x14ac:dyDescent="0.45">
      <c r="C20" s="75">
        <v>12</v>
      </c>
      <c r="D20" s="74">
        <v>158489.31924611147</v>
      </c>
      <c r="E20" s="51"/>
      <c r="F20" s="51"/>
    </row>
    <row r="21" spans="3:15" x14ac:dyDescent="0.45">
      <c r="C21" s="75">
        <v>13</v>
      </c>
      <c r="D21" s="74">
        <v>199526.23149688807</v>
      </c>
      <c r="E21" s="51"/>
      <c r="F21" s="51"/>
    </row>
    <row r="22" spans="3:15" x14ac:dyDescent="0.45">
      <c r="C22" s="75">
        <v>14</v>
      </c>
      <c r="D22" s="74">
        <v>251188.6431509582</v>
      </c>
      <c r="E22" s="51"/>
      <c r="F22" s="51"/>
      <c r="G22" s="51"/>
    </row>
    <row r="23" spans="3:15" x14ac:dyDescent="0.45">
      <c r="C23" s="75">
        <v>15</v>
      </c>
      <c r="D23" s="74">
        <v>316227.7660168382</v>
      </c>
      <c r="E23" s="51"/>
      <c r="F23" s="51"/>
      <c r="G23" s="51"/>
    </row>
    <row r="24" spans="3:15" x14ac:dyDescent="0.45">
      <c r="C24" s="75">
        <v>16</v>
      </c>
      <c r="D24" s="74">
        <v>398107.17055349756</v>
      </c>
      <c r="E24" s="51"/>
      <c r="F24" s="51"/>
      <c r="G24" s="51"/>
    </row>
    <row r="25" spans="3:15" x14ac:dyDescent="0.45">
      <c r="C25" s="75">
        <v>17</v>
      </c>
      <c r="D25" s="74">
        <v>501187.23362727265</v>
      </c>
      <c r="E25" s="51"/>
      <c r="F25" s="51"/>
      <c r="G25" s="51"/>
    </row>
    <row r="26" spans="3:15" x14ac:dyDescent="0.45">
      <c r="C26" s="75">
        <v>18</v>
      </c>
      <c r="D26" s="74">
        <v>630957.3444801938</v>
      </c>
      <c r="E26" s="51"/>
      <c r="F26" s="51"/>
      <c r="G26" s="51"/>
    </row>
    <row r="27" spans="3:15" x14ac:dyDescent="0.45">
      <c r="C27" s="75">
        <v>19</v>
      </c>
      <c r="D27" s="74">
        <v>794328.23472428229</v>
      </c>
      <c r="E27" s="51"/>
      <c r="F27" s="51"/>
      <c r="G27" s="51"/>
    </row>
    <row r="28" spans="3:15" x14ac:dyDescent="0.45">
      <c r="C28" s="75">
        <v>20</v>
      </c>
      <c r="D28" s="74">
        <v>1000000.000000001</v>
      </c>
      <c r="E28" s="51"/>
      <c r="F28" s="51"/>
      <c r="G28" s="51"/>
    </row>
    <row r="29" spans="3:15" x14ac:dyDescent="0.45">
      <c r="C29" s="75">
        <v>21</v>
      </c>
      <c r="D29" s="74">
        <v>1258925.4117941684</v>
      </c>
      <c r="E29" s="51"/>
      <c r="F29" s="51"/>
      <c r="G29" s="51"/>
    </row>
    <row r="30" spans="3:15" x14ac:dyDescent="0.45">
      <c r="C30" s="75">
        <v>22</v>
      </c>
      <c r="D30" s="74">
        <v>1584893.1924611151</v>
      </c>
      <c r="E30" s="51"/>
      <c r="F30" s="51"/>
      <c r="G30" s="51"/>
    </row>
    <row r="31" spans="3:15" x14ac:dyDescent="0.45">
      <c r="C31" s="75">
        <v>23</v>
      </c>
      <c r="D31" s="74">
        <v>1995262.3149688819</v>
      </c>
      <c r="E31" s="51"/>
      <c r="F31" s="51"/>
      <c r="G31" s="51"/>
    </row>
    <row r="32" spans="3:15" x14ac:dyDescent="0.45">
      <c r="C32" s="75">
        <v>24</v>
      </c>
      <c r="D32" s="74">
        <v>2511886.4315095833</v>
      </c>
      <c r="E32" s="51"/>
      <c r="F32" s="51"/>
      <c r="G32" s="51"/>
    </row>
    <row r="33" spans="3:7" x14ac:dyDescent="0.45">
      <c r="C33" s="75">
        <v>25</v>
      </c>
      <c r="D33" s="74">
        <v>3162277.6601683828</v>
      </c>
      <c r="E33" s="51"/>
      <c r="F33" s="51"/>
      <c r="G33" s="51"/>
    </row>
    <row r="34" spans="3:7" x14ac:dyDescent="0.45">
      <c r="C34" s="75">
        <v>26</v>
      </c>
      <c r="D34" s="74">
        <v>3981071.7055349778</v>
      </c>
      <c r="E34" s="51"/>
      <c r="F34" s="51"/>
      <c r="G34" s="51"/>
    </row>
    <row r="35" spans="3:7" x14ac:dyDescent="0.45">
      <c r="C35" s="75">
        <v>27</v>
      </c>
      <c r="D35" s="74">
        <v>5011872.3362727296</v>
      </c>
      <c r="E35" s="51"/>
      <c r="F35" s="51"/>
      <c r="G35" s="51"/>
    </row>
    <row r="36" spans="3:7" x14ac:dyDescent="0.45">
      <c r="C36" s="75">
        <v>28</v>
      </c>
      <c r="D36" s="74">
        <v>6309573.4448019415</v>
      </c>
      <c r="E36" s="51"/>
      <c r="F36" s="51"/>
      <c r="G36" s="51"/>
    </row>
    <row r="37" spans="3:7" x14ac:dyDescent="0.45">
      <c r="C37" s="75">
        <v>29</v>
      </c>
      <c r="D37" s="74">
        <v>7943282.3472428257</v>
      </c>
      <c r="E37" s="51"/>
      <c r="F37" s="51"/>
      <c r="G37" s="51"/>
    </row>
    <row r="38" spans="3:7" x14ac:dyDescent="0.45">
      <c r="C38" s="75">
        <v>30</v>
      </c>
      <c r="D38" s="74">
        <v>10000000.000000015</v>
      </c>
      <c r="E38" s="51"/>
      <c r="F38" s="51"/>
      <c r="G38" s="51"/>
    </row>
    <row r="39" spans="3:7" x14ac:dyDescent="0.45">
      <c r="C39" s="75">
        <v>31</v>
      </c>
      <c r="D39" s="74">
        <v>12589254.117941691</v>
      </c>
      <c r="E39" s="51"/>
      <c r="F39" s="51"/>
      <c r="G39" s="51"/>
    </row>
    <row r="40" spans="3:7" x14ac:dyDescent="0.45">
      <c r="C40" s="75">
        <v>32</v>
      </c>
      <c r="D40" s="74">
        <v>15848931.924611159</v>
      </c>
      <c r="E40" s="51"/>
      <c r="F40" s="51"/>
      <c r="G40" s="51"/>
    </row>
    <row r="41" spans="3:7" x14ac:dyDescent="0.45">
      <c r="C41" s="75">
        <v>33</v>
      </c>
      <c r="D41" s="74">
        <v>19952623.149688829</v>
      </c>
      <c r="E41" s="51"/>
      <c r="F41" s="51"/>
      <c r="G41" s="51"/>
    </row>
    <row r="42" spans="3:7" x14ac:dyDescent="0.45">
      <c r="C42" s="75">
        <v>34</v>
      </c>
      <c r="D42" s="74">
        <v>25118864.315095838</v>
      </c>
      <c r="E42" s="51"/>
      <c r="F42" s="51"/>
      <c r="G42" s="51"/>
    </row>
    <row r="43" spans="3:7" x14ac:dyDescent="0.45">
      <c r="C43" s="75">
        <v>35</v>
      </c>
      <c r="D43" s="74">
        <v>31622776.601683844</v>
      </c>
      <c r="E43" s="51"/>
      <c r="F43" s="51"/>
      <c r="G43" s="51"/>
    </row>
    <row r="44" spans="3:7" x14ac:dyDescent="0.45">
      <c r="C44" s="75">
        <v>36</v>
      </c>
      <c r="D44" s="74">
        <v>39810717.05534979</v>
      </c>
      <c r="E44" s="51"/>
      <c r="F44" s="51"/>
      <c r="G44" s="51"/>
    </row>
    <row r="45" spans="3:7" x14ac:dyDescent="0.45">
      <c r="C45" s="75">
        <v>37</v>
      </c>
      <c r="D45" s="74">
        <v>50118723.362727314</v>
      </c>
      <c r="E45" s="51"/>
      <c r="F45" s="51"/>
      <c r="G45" s="51"/>
    </row>
    <row r="46" spans="3:7" x14ac:dyDescent="0.45">
      <c r="C46" s="75">
        <v>38</v>
      </c>
      <c r="D46" s="74">
        <v>63095734.448019437</v>
      </c>
      <c r="E46" s="51"/>
      <c r="F46" s="51"/>
      <c r="G46" s="51"/>
    </row>
    <row r="47" spans="3:7" x14ac:dyDescent="0.45">
      <c r="C47" s="75">
        <v>39</v>
      </c>
      <c r="D47" s="74">
        <v>79432823.472428292</v>
      </c>
      <c r="E47" s="51"/>
      <c r="F47" s="51"/>
      <c r="G47" s="51"/>
    </row>
    <row r="48" spans="3:7" x14ac:dyDescent="0.45">
      <c r="C48" s="75">
        <v>40</v>
      </c>
      <c r="D48" s="74">
        <v>100000000.00000019</v>
      </c>
      <c r="E48" s="51"/>
      <c r="F48" s="51"/>
      <c r="G48" s="51"/>
    </row>
    <row r="49" spans="3:7" x14ac:dyDescent="0.45">
      <c r="C49" s="75"/>
      <c r="D49" s="74"/>
      <c r="E49" s="40"/>
      <c r="F49" s="40"/>
      <c r="G49" s="40"/>
    </row>
    <row r="50" spans="3:7" x14ac:dyDescent="0.45">
      <c r="C50" s="75"/>
      <c r="D50" s="74"/>
      <c r="E50" s="40"/>
      <c r="F50" s="40"/>
      <c r="G50" s="40"/>
    </row>
    <row r="51" spans="3:7" x14ac:dyDescent="0.45">
      <c r="C51" s="75"/>
      <c r="D51" s="74"/>
      <c r="E51" s="40"/>
      <c r="F51" s="40"/>
      <c r="G51" s="40"/>
    </row>
    <row r="52" spans="3:7" x14ac:dyDescent="0.45">
      <c r="C52" s="75"/>
      <c r="D52" s="74"/>
      <c r="E52" s="40"/>
      <c r="F52" s="40"/>
      <c r="G52" s="40"/>
    </row>
    <row r="53" spans="3:7" x14ac:dyDescent="0.45">
      <c r="C53" s="75"/>
      <c r="D53" s="74"/>
      <c r="E53" s="40"/>
      <c r="F53" s="40"/>
      <c r="G53" s="40"/>
    </row>
    <row r="54" spans="3:7" x14ac:dyDescent="0.45">
      <c r="C54" s="75"/>
      <c r="D54" s="74"/>
      <c r="E54" s="40"/>
      <c r="F54" s="40"/>
      <c r="G54" s="40"/>
    </row>
    <row r="55" spans="3:7" x14ac:dyDescent="0.45">
      <c r="C55" s="75"/>
      <c r="D55" s="74"/>
      <c r="E55" s="40"/>
      <c r="F55" s="40"/>
      <c r="G55" s="40"/>
    </row>
    <row r="56" spans="3:7" x14ac:dyDescent="0.45">
      <c r="C56" s="75"/>
      <c r="D56" s="74"/>
      <c r="E56" s="40"/>
      <c r="F56" s="40"/>
      <c r="G56" s="40"/>
    </row>
    <row r="57" spans="3:7" x14ac:dyDescent="0.45">
      <c r="C57" s="75"/>
      <c r="D57" s="74"/>
      <c r="E57" s="40"/>
      <c r="F57" s="40"/>
      <c r="G57" s="40"/>
    </row>
    <row r="58" spans="3:7" x14ac:dyDescent="0.45">
      <c r="C58" s="75"/>
      <c r="D58" s="74"/>
      <c r="E58" s="40"/>
      <c r="F58" s="40"/>
      <c r="G58" s="40"/>
    </row>
    <row r="59" spans="3:7" x14ac:dyDescent="0.45">
      <c r="C59" s="75"/>
      <c r="D59" s="74"/>
      <c r="E59" s="40"/>
      <c r="F59" s="40"/>
      <c r="G59" s="40"/>
    </row>
    <row r="60" spans="3:7" x14ac:dyDescent="0.45">
      <c r="C60" s="75"/>
      <c r="D60" s="74"/>
      <c r="E60" s="40"/>
      <c r="F60" s="40"/>
      <c r="G60" s="40"/>
    </row>
    <row r="61" spans="3:7" x14ac:dyDescent="0.45">
      <c r="C61" s="75"/>
      <c r="D61" s="74"/>
      <c r="E61" s="40"/>
      <c r="F61" s="40"/>
      <c r="G61" s="40"/>
    </row>
    <row r="62" spans="3:7" x14ac:dyDescent="0.45">
      <c r="C62" s="75"/>
      <c r="D62" s="74"/>
      <c r="E62" s="40"/>
      <c r="F62" s="40"/>
      <c r="G62" s="40"/>
    </row>
    <row r="63" spans="3:7" x14ac:dyDescent="0.45">
      <c r="C63" s="75"/>
      <c r="D63" s="74"/>
      <c r="E63" s="40"/>
      <c r="F63" s="40"/>
      <c r="G63" s="40"/>
    </row>
    <row r="64" spans="3:7" x14ac:dyDescent="0.45">
      <c r="C64" s="75"/>
      <c r="D64" s="74"/>
      <c r="E64" s="40"/>
      <c r="F64" s="40"/>
      <c r="G64" s="40"/>
    </row>
    <row r="65" spans="3:7" x14ac:dyDescent="0.45">
      <c r="C65" s="75"/>
      <c r="D65" s="74"/>
      <c r="E65" s="40"/>
      <c r="F65" s="40"/>
      <c r="G65" s="40"/>
    </row>
    <row r="66" spans="3:7" x14ac:dyDescent="0.45">
      <c r="C66" s="75"/>
      <c r="D66" s="74"/>
      <c r="E66" s="40"/>
      <c r="F66" s="40"/>
      <c r="G66" s="40"/>
    </row>
    <row r="67" spans="3:7" x14ac:dyDescent="0.45">
      <c r="C67" s="75"/>
      <c r="D67" s="74"/>
      <c r="E67" s="40"/>
      <c r="F67" s="40"/>
      <c r="G67" s="40"/>
    </row>
    <row r="68" spans="3:7" x14ac:dyDescent="0.45">
      <c r="C68" s="75"/>
      <c r="D68" s="74"/>
      <c r="E68" s="40"/>
      <c r="F68" s="40"/>
      <c r="G68" s="40"/>
    </row>
    <row r="69" spans="3:7" x14ac:dyDescent="0.45">
      <c r="C69" s="75"/>
      <c r="D69" s="74"/>
      <c r="E69" s="40"/>
      <c r="F69" s="40"/>
      <c r="G69" s="40"/>
    </row>
    <row r="70" spans="3:7" x14ac:dyDescent="0.45">
      <c r="C70" s="75"/>
      <c r="D70" s="74"/>
      <c r="E70" s="40"/>
      <c r="F70" s="40"/>
      <c r="G70" s="40"/>
    </row>
    <row r="71" spans="3:7" x14ac:dyDescent="0.45">
      <c r="C71" s="75"/>
      <c r="D71" s="74"/>
      <c r="E71" s="40"/>
      <c r="F71" s="40"/>
      <c r="G71" s="40"/>
    </row>
    <row r="72" spans="3:7" x14ac:dyDescent="0.45">
      <c r="C72" s="75"/>
      <c r="D72" s="74"/>
      <c r="E72" s="40"/>
      <c r="F72" s="40"/>
      <c r="G72" s="40"/>
    </row>
    <row r="73" spans="3:7" x14ac:dyDescent="0.45">
      <c r="C73" s="75"/>
      <c r="D73" s="74"/>
      <c r="E73" s="40"/>
      <c r="F73" s="40"/>
      <c r="G73" s="40"/>
    </row>
    <row r="74" spans="3:7" x14ac:dyDescent="0.45">
      <c r="C74" s="75"/>
      <c r="D74" s="74"/>
      <c r="E74" s="40"/>
      <c r="F74" s="40"/>
      <c r="G74" s="40"/>
    </row>
    <row r="75" spans="3:7" x14ac:dyDescent="0.45">
      <c r="C75" s="75"/>
      <c r="D75" s="74"/>
      <c r="E75" s="40"/>
      <c r="F75" s="40"/>
      <c r="G75" s="40"/>
    </row>
    <row r="76" spans="3:7" x14ac:dyDescent="0.45">
      <c r="C76" s="75"/>
      <c r="D76" s="74"/>
      <c r="E76" s="40"/>
      <c r="F76" s="40"/>
      <c r="G76" s="40"/>
    </row>
    <row r="77" spans="3:7" x14ac:dyDescent="0.45">
      <c r="C77" s="75"/>
      <c r="D77" s="74"/>
      <c r="E77" s="40"/>
      <c r="F77" s="40"/>
      <c r="G77" s="40"/>
    </row>
    <row r="78" spans="3:7" x14ac:dyDescent="0.45">
      <c r="C78" s="75"/>
      <c r="D78" s="74"/>
      <c r="E78" s="40"/>
      <c r="F78" s="40"/>
      <c r="G78" s="40"/>
    </row>
    <row r="79" spans="3:7" x14ac:dyDescent="0.45">
      <c r="C79" s="75"/>
      <c r="D79" s="74"/>
      <c r="E79" s="40"/>
      <c r="F79" s="40"/>
      <c r="G79" s="40"/>
    </row>
    <row r="80" spans="3:7" x14ac:dyDescent="0.45">
      <c r="C80" s="75"/>
      <c r="D80" s="74"/>
      <c r="E80" s="40"/>
      <c r="F80" s="40"/>
      <c r="G80" s="40"/>
    </row>
    <row r="81" spans="3:7" x14ac:dyDescent="0.45">
      <c r="C81" s="75"/>
      <c r="D81" s="74"/>
      <c r="E81" s="40"/>
      <c r="F81" s="40"/>
      <c r="G81" s="40"/>
    </row>
    <row r="82" spans="3:7" x14ac:dyDescent="0.45">
      <c r="C82" s="75"/>
      <c r="D82" s="74"/>
      <c r="E82" s="40"/>
      <c r="F82" s="40"/>
      <c r="G82" s="40"/>
    </row>
    <row r="83" spans="3:7" x14ac:dyDescent="0.45">
      <c r="C83" s="75"/>
      <c r="D83" s="74"/>
      <c r="E83" s="40"/>
      <c r="F83" s="40"/>
      <c r="G83" s="40"/>
    </row>
    <row r="84" spans="3:7" x14ac:dyDescent="0.45">
      <c r="C84" s="75"/>
      <c r="D84" s="74"/>
      <c r="E84" s="40"/>
      <c r="F84" s="40"/>
      <c r="G84" s="40"/>
    </row>
    <row r="85" spans="3:7" x14ac:dyDescent="0.45">
      <c r="C85" s="75"/>
      <c r="D85" s="74"/>
      <c r="E85" s="40"/>
      <c r="F85" s="40"/>
      <c r="G85" s="40"/>
    </row>
    <row r="86" spans="3:7" x14ac:dyDescent="0.45">
      <c r="C86" s="75"/>
      <c r="D86" s="74"/>
      <c r="E86" s="40"/>
      <c r="F86" s="40"/>
      <c r="G86" s="40"/>
    </row>
    <row r="87" spans="3:7" x14ac:dyDescent="0.45">
      <c r="C87" s="75"/>
      <c r="D87" s="74"/>
      <c r="E87" s="40"/>
      <c r="F87" s="40"/>
      <c r="G87" s="40"/>
    </row>
    <row r="88" spans="3:7" x14ac:dyDescent="0.45">
      <c r="C88" s="75"/>
      <c r="D88" s="74"/>
      <c r="E88" s="40"/>
      <c r="F88" s="40"/>
      <c r="G88" s="40"/>
    </row>
    <row r="89" spans="3:7" x14ac:dyDescent="0.45">
      <c r="C89" s="75"/>
      <c r="D89" s="74"/>
      <c r="E89" s="40"/>
      <c r="F89" s="40"/>
      <c r="G89" s="40"/>
    </row>
    <row r="90" spans="3:7" x14ac:dyDescent="0.45">
      <c r="C90" s="75"/>
      <c r="D90" s="74"/>
      <c r="E90" s="40"/>
      <c r="F90" s="40"/>
      <c r="G90" s="40"/>
    </row>
    <row r="91" spans="3:7" x14ac:dyDescent="0.45">
      <c r="C91" s="75"/>
      <c r="D91" s="74"/>
      <c r="E91" s="40"/>
      <c r="F91" s="40"/>
      <c r="G91" s="40"/>
    </row>
    <row r="92" spans="3:7" x14ac:dyDescent="0.45">
      <c r="C92" s="75"/>
      <c r="D92" s="74"/>
      <c r="E92" s="40"/>
      <c r="F92" s="40"/>
      <c r="G92" s="40"/>
    </row>
    <row r="93" spans="3:7" x14ac:dyDescent="0.45">
      <c r="C93" s="75"/>
      <c r="D93" s="74"/>
      <c r="E93" s="40"/>
      <c r="F93" s="40"/>
      <c r="G93" s="40"/>
    </row>
    <row r="94" spans="3:7" x14ac:dyDescent="0.45">
      <c r="C94" s="75"/>
      <c r="D94" s="74"/>
      <c r="E94" s="40"/>
      <c r="F94" s="40"/>
      <c r="G94" s="40"/>
    </row>
    <row r="95" spans="3:7" x14ac:dyDescent="0.45">
      <c r="C95" s="75"/>
      <c r="D95" s="74"/>
      <c r="E95" s="40"/>
      <c r="F95" s="40"/>
      <c r="G95" s="40"/>
    </row>
    <row r="96" spans="3:7" x14ac:dyDescent="0.45">
      <c r="C96" s="75"/>
      <c r="D96" s="74"/>
      <c r="E96" s="40"/>
      <c r="F96" s="40"/>
      <c r="G96" s="40"/>
    </row>
    <row r="97" spans="3:7" x14ac:dyDescent="0.45">
      <c r="C97" s="75"/>
      <c r="D97" s="74"/>
      <c r="E97" s="40"/>
      <c r="F97" s="40"/>
      <c r="G97" s="40"/>
    </row>
    <row r="98" spans="3:7" x14ac:dyDescent="0.45">
      <c r="C98" s="75"/>
      <c r="D98" s="74"/>
      <c r="E98" s="40"/>
      <c r="F98" s="40"/>
      <c r="G98" s="40"/>
    </row>
    <row r="99" spans="3:7" x14ac:dyDescent="0.45">
      <c r="C99" s="75"/>
      <c r="D99" s="74"/>
      <c r="E99" s="40"/>
      <c r="F99" s="40"/>
      <c r="G99" s="40"/>
    </row>
    <row r="100" spans="3:7" x14ac:dyDescent="0.45">
      <c r="C100" s="75"/>
      <c r="D100" s="74"/>
      <c r="E100" s="40"/>
      <c r="F100" s="40"/>
      <c r="G100" s="40"/>
    </row>
    <row r="101" spans="3:7" x14ac:dyDescent="0.45">
      <c r="C101" s="75"/>
      <c r="D101" s="74"/>
      <c r="E101" s="40"/>
      <c r="F101" s="40"/>
      <c r="G101" s="40"/>
    </row>
    <row r="102" spans="3:7" x14ac:dyDescent="0.45">
      <c r="C102" s="75"/>
      <c r="D102" s="74"/>
      <c r="E102" s="40"/>
      <c r="F102" s="40"/>
      <c r="G102" s="40"/>
    </row>
    <row r="103" spans="3:7" x14ac:dyDescent="0.45">
      <c r="C103" s="75"/>
      <c r="D103" s="74"/>
      <c r="E103" s="40"/>
      <c r="F103" s="40"/>
      <c r="G103" s="40"/>
    </row>
    <row r="104" spans="3:7" x14ac:dyDescent="0.45">
      <c r="C104" s="75"/>
      <c r="D104" s="74"/>
      <c r="E104" s="40"/>
      <c r="F104" s="40"/>
      <c r="G104" s="40"/>
    </row>
    <row r="105" spans="3:7" x14ac:dyDescent="0.45">
      <c r="C105" s="75"/>
      <c r="D105" s="74"/>
      <c r="E105" s="40"/>
      <c r="F105" s="40"/>
      <c r="G105" s="40"/>
    </row>
    <row r="106" spans="3:7" x14ac:dyDescent="0.45">
      <c r="C106" s="75"/>
      <c r="D106" s="74"/>
      <c r="E106" s="40"/>
      <c r="F106" s="40"/>
      <c r="G106" s="40"/>
    </row>
    <row r="107" spans="3:7" x14ac:dyDescent="0.45">
      <c r="C107" s="75"/>
      <c r="D107" s="74"/>
      <c r="E107" s="40"/>
      <c r="F107" s="40"/>
      <c r="G107" s="40"/>
    </row>
    <row r="108" spans="3:7" x14ac:dyDescent="0.45">
      <c r="C108" s="75"/>
      <c r="D108" s="74"/>
      <c r="E108" s="40"/>
      <c r="F108" s="40"/>
      <c r="G108" s="40"/>
    </row>
    <row r="109" spans="3:7" x14ac:dyDescent="0.45">
      <c r="C109" s="75"/>
      <c r="D109" s="74"/>
      <c r="E109" s="40"/>
      <c r="F109" s="40"/>
      <c r="G109" s="40"/>
    </row>
    <row r="110" spans="3:7" x14ac:dyDescent="0.45">
      <c r="C110" s="75"/>
      <c r="D110" s="74"/>
      <c r="E110" s="40"/>
      <c r="F110" s="40"/>
      <c r="G110" s="40"/>
    </row>
    <row r="111" spans="3:7" x14ac:dyDescent="0.45">
      <c r="C111" s="75"/>
      <c r="D111" s="74"/>
      <c r="E111" s="40"/>
      <c r="F111" s="40"/>
      <c r="G111" s="40"/>
    </row>
    <row r="112" spans="3:7" x14ac:dyDescent="0.45">
      <c r="C112" s="75"/>
      <c r="D112" s="74"/>
      <c r="E112" s="40"/>
      <c r="F112" s="40"/>
      <c r="G112" s="40"/>
    </row>
    <row r="113" spans="3:7" x14ac:dyDescent="0.45">
      <c r="C113" s="75"/>
      <c r="D113" s="74"/>
      <c r="E113" s="40"/>
      <c r="F113" s="40"/>
      <c r="G113" s="40"/>
    </row>
    <row r="114" spans="3:7" x14ac:dyDescent="0.45">
      <c r="C114" s="75"/>
      <c r="D114" s="74"/>
      <c r="E114" s="40"/>
      <c r="F114" s="40"/>
      <c r="G114" s="40"/>
    </row>
    <row r="115" spans="3:7" x14ac:dyDescent="0.45">
      <c r="C115" s="75"/>
      <c r="D115" s="74"/>
      <c r="E115" s="40"/>
      <c r="F115" s="40"/>
      <c r="G115" s="40"/>
    </row>
    <row r="116" spans="3:7" x14ac:dyDescent="0.45">
      <c r="C116" s="75"/>
      <c r="D116" s="74"/>
      <c r="E116" s="40"/>
      <c r="F116" s="40"/>
      <c r="G116" s="40"/>
    </row>
    <row r="117" spans="3:7" x14ac:dyDescent="0.45">
      <c r="C117" s="75"/>
      <c r="D117" s="74"/>
      <c r="E117" s="40"/>
      <c r="F117" s="40"/>
      <c r="G117" s="40"/>
    </row>
    <row r="118" spans="3:7" x14ac:dyDescent="0.45">
      <c r="C118" s="75"/>
      <c r="D118" s="74"/>
      <c r="E118" s="40"/>
      <c r="F118" s="40"/>
      <c r="G118" s="40"/>
    </row>
    <row r="119" spans="3:7" x14ac:dyDescent="0.45">
      <c r="C119" s="75"/>
      <c r="D119" s="74"/>
      <c r="E119" s="40"/>
      <c r="F119" s="40"/>
      <c r="G119" s="40"/>
    </row>
    <row r="120" spans="3:7" x14ac:dyDescent="0.45">
      <c r="C120" s="75"/>
      <c r="D120" s="74"/>
      <c r="E120" s="40"/>
      <c r="F120" s="40"/>
      <c r="G120" s="40"/>
    </row>
    <row r="121" spans="3:7" x14ac:dyDescent="0.45">
      <c r="C121" s="75"/>
      <c r="D121" s="74"/>
      <c r="E121" s="40"/>
      <c r="F121" s="40"/>
      <c r="G121" s="40"/>
    </row>
    <row r="122" spans="3:7" x14ac:dyDescent="0.45">
      <c r="C122" s="75"/>
      <c r="D122" s="74"/>
      <c r="E122" s="40"/>
      <c r="F122" s="40"/>
      <c r="G122" s="40"/>
    </row>
    <row r="123" spans="3:7" x14ac:dyDescent="0.45">
      <c r="C123" s="75"/>
      <c r="D123" s="74"/>
      <c r="E123" s="40"/>
      <c r="F123" s="40"/>
      <c r="G123" s="40"/>
    </row>
    <row r="124" spans="3:7" x14ac:dyDescent="0.45">
      <c r="C124" s="75"/>
      <c r="D124" s="74"/>
      <c r="E124" s="40"/>
      <c r="F124" s="40"/>
      <c r="G124" s="40"/>
    </row>
    <row r="125" spans="3:7" x14ac:dyDescent="0.45">
      <c r="C125" s="75"/>
      <c r="D125" s="74"/>
      <c r="E125" s="40"/>
      <c r="F125" s="40"/>
      <c r="G125" s="40"/>
    </row>
    <row r="126" spans="3:7" x14ac:dyDescent="0.45">
      <c r="C126" s="75"/>
      <c r="D126" s="74"/>
      <c r="E126" s="40"/>
      <c r="F126" s="40"/>
      <c r="G126" s="40"/>
    </row>
    <row r="127" spans="3:7" x14ac:dyDescent="0.45">
      <c r="C127" s="75"/>
      <c r="D127" s="74"/>
      <c r="E127" s="40"/>
      <c r="F127" s="40"/>
      <c r="G127" s="40"/>
    </row>
    <row r="128" spans="3:7" x14ac:dyDescent="0.45">
      <c r="C128" s="75"/>
      <c r="D128" s="74"/>
      <c r="E128" s="40"/>
      <c r="F128" s="40"/>
      <c r="G128" s="40"/>
    </row>
    <row r="129" spans="3:7" x14ac:dyDescent="0.45">
      <c r="C129" s="75"/>
      <c r="D129" s="74"/>
      <c r="E129" s="40"/>
      <c r="F129" s="40"/>
      <c r="G129" s="40"/>
    </row>
    <row r="130" spans="3:7" x14ac:dyDescent="0.45">
      <c r="C130" s="75"/>
      <c r="D130" s="74"/>
      <c r="E130" s="40"/>
      <c r="F130" s="40"/>
      <c r="G130" s="40"/>
    </row>
    <row r="131" spans="3:7" x14ac:dyDescent="0.45">
      <c r="C131" s="75"/>
      <c r="D131" s="74"/>
      <c r="E131" s="40"/>
      <c r="F131" s="40"/>
      <c r="G131" s="40"/>
    </row>
    <row r="132" spans="3:7" x14ac:dyDescent="0.45">
      <c r="C132" s="75"/>
      <c r="D132" s="74"/>
      <c r="E132" s="40"/>
      <c r="F132" s="40"/>
      <c r="G132" s="40"/>
    </row>
    <row r="133" spans="3:7" x14ac:dyDescent="0.45">
      <c r="C133" s="75"/>
      <c r="D133" s="74"/>
      <c r="E133" s="40"/>
      <c r="F133" s="40"/>
      <c r="G133" s="40"/>
    </row>
    <row r="134" spans="3:7" x14ac:dyDescent="0.45">
      <c r="C134" s="75"/>
      <c r="D134" s="74"/>
      <c r="E134" s="40"/>
      <c r="F134" s="40"/>
      <c r="G134" s="40"/>
    </row>
    <row r="135" spans="3:7" x14ac:dyDescent="0.45">
      <c r="C135" s="75"/>
      <c r="D135" s="74"/>
      <c r="E135" s="40"/>
      <c r="F135" s="40"/>
      <c r="G135" s="40"/>
    </row>
    <row r="136" spans="3:7" x14ac:dyDescent="0.45">
      <c r="C136" s="75"/>
      <c r="D136" s="74"/>
      <c r="E136" s="40"/>
      <c r="F136" s="40"/>
      <c r="G136" s="40"/>
    </row>
    <row r="137" spans="3:7" x14ac:dyDescent="0.45">
      <c r="C137" s="75"/>
      <c r="D137" s="74"/>
      <c r="E137" s="40"/>
      <c r="F137" s="40"/>
      <c r="G137" s="40"/>
    </row>
    <row r="138" spans="3:7" x14ac:dyDescent="0.45">
      <c r="C138" s="75"/>
      <c r="D138" s="74"/>
      <c r="E138" s="40"/>
      <c r="F138" s="40"/>
      <c r="G138" s="40"/>
    </row>
    <row r="139" spans="3:7" x14ac:dyDescent="0.45">
      <c r="C139" s="75"/>
      <c r="D139" s="74"/>
      <c r="E139" s="40"/>
      <c r="F139" s="40"/>
      <c r="G139" s="40"/>
    </row>
    <row r="140" spans="3:7" x14ac:dyDescent="0.45">
      <c r="C140" s="75"/>
      <c r="D140" s="74"/>
      <c r="E140" s="40"/>
      <c r="F140" s="40"/>
      <c r="G140" s="40"/>
    </row>
    <row r="141" spans="3:7" x14ac:dyDescent="0.45">
      <c r="C141" s="75"/>
      <c r="D141" s="74"/>
      <c r="E141" s="40"/>
      <c r="F141" s="40"/>
      <c r="G141" s="40"/>
    </row>
    <row r="142" spans="3:7" x14ac:dyDescent="0.45">
      <c r="C142" s="75"/>
      <c r="D142" s="74"/>
      <c r="E142" s="40"/>
      <c r="F142" s="40"/>
      <c r="G142" s="40"/>
    </row>
    <row r="143" spans="3:7" x14ac:dyDescent="0.45">
      <c r="C143" s="75"/>
      <c r="D143" s="74"/>
      <c r="E143" s="40"/>
      <c r="F143" s="40"/>
      <c r="G143" s="40"/>
    </row>
    <row r="144" spans="3:7" x14ac:dyDescent="0.45">
      <c r="C144" s="75"/>
      <c r="D144" s="74"/>
      <c r="E144" s="40"/>
      <c r="F144" s="40"/>
      <c r="G144" s="40"/>
    </row>
    <row r="145" spans="3:7" x14ac:dyDescent="0.45">
      <c r="C145" s="75"/>
      <c r="D145" s="74"/>
      <c r="E145" s="40"/>
      <c r="F145" s="40"/>
      <c r="G145" s="40"/>
    </row>
    <row r="146" spans="3:7" x14ac:dyDescent="0.45">
      <c r="C146" s="75"/>
      <c r="D146" s="74"/>
      <c r="E146" s="40"/>
      <c r="F146" s="40"/>
      <c r="G146" s="40"/>
    </row>
    <row r="147" spans="3:7" x14ac:dyDescent="0.45">
      <c r="C147" s="75"/>
      <c r="D147" s="74"/>
      <c r="E147" s="40"/>
      <c r="F147" s="40"/>
      <c r="G147" s="40"/>
    </row>
    <row r="148" spans="3:7" x14ac:dyDescent="0.45">
      <c r="C148" s="75"/>
      <c r="D148" s="74"/>
      <c r="E148" s="40"/>
      <c r="F148" s="40"/>
      <c r="G148" s="40"/>
    </row>
    <row r="149" spans="3:7" x14ac:dyDescent="0.45">
      <c r="C149" s="75"/>
      <c r="D149" s="74"/>
      <c r="E149" s="40"/>
      <c r="F149" s="40"/>
      <c r="G149" s="40"/>
    </row>
    <row r="150" spans="3:7" x14ac:dyDescent="0.45">
      <c r="C150" s="75"/>
      <c r="D150" s="74"/>
      <c r="E150" s="40"/>
      <c r="F150" s="40"/>
      <c r="G150" s="40"/>
    </row>
    <row r="151" spans="3:7" x14ac:dyDescent="0.45">
      <c r="C151" s="75"/>
      <c r="D151" s="74"/>
      <c r="E151" s="40"/>
      <c r="F151" s="40"/>
      <c r="G151" s="40"/>
    </row>
    <row r="152" spans="3:7" x14ac:dyDescent="0.45">
      <c r="C152" s="75"/>
      <c r="D152" s="74"/>
      <c r="E152" s="40"/>
      <c r="F152" s="40"/>
      <c r="G152" s="40"/>
    </row>
    <row r="153" spans="3:7" x14ac:dyDescent="0.45">
      <c r="C153" s="75"/>
      <c r="D153" s="74"/>
      <c r="E153" s="40"/>
      <c r="F153" s="40"/>
      <c r="G153" s="40"/>
    </row>
    <row r="154" spans="3:7" x14ac:dyDescent="0.45">
      <c r="C154" s="75"/>
      <c r="D154" s="74"/>
      <c r="E154" s="40"/>
      <c r="F154" s="40"/>
      <c r="G154" s="40"/>
    </row>
    <row r="155" spans="3:7" x14ac:dyDescent="0.45">
      <c r="C155" s="75"/>
      <c r="D155" s="74"/>
      <c r="E155" s="40"/>
      <c r="F155" s="40"/>
      <c r="G155" s="40"/>
    </row>
    <row r="156" spans="3:7" x14ac:dyDescent="0.45">
      <c r="C156" s="75"/>
      <c r="D156" s="74"/>
      <c r="E156" s="40"/>
      <c r="F156" s="40"/>
      <c r="G156" s="40"/>
    </row>
    <row r="157" spans="3:7" x14ac:dyDescent="0.45">
      <c r="C157" s="75"/>
      <c r="D157" s="74"/>
      <c r="E157" s="40"/>
      <c r="F157" s="40"/>
      <c r="G157" s="40"/>
    </row>
    <row r="158" spans="3:7" x14ac:dyDescent="0.45">
      <c r="C158" s="75"/>
      <c r="D158" s="74"/>
      <c r="E158" s="40"/>
      <c r="F158" s="40"/>
      <c r="G158" s="40"/>
    </row>
    <row r="159" spans="3:7" x14ac:dyDescent="0.45">
      <c r="C159" s="75"/>
      <c r="D159" s="74"/>
      <c r="E159" s="40"/>
      <c r="F159" s="40"/>
      <c r="G159" s="40"/>
    </row>
    <row r="160" spans="3:7" x14ac:dyDescent="0.45">
      <c r="C160" s="75"/>
      <c r="D160" s="74"/>
      <c r="E160" s="40"/>
      <c r="F160" s="40"/>
      <c r="G160" s="40"/>
    </row>
    <row r="161" spans="3:7" x14ac:dyDescent="0.45">
      <c r="C161" s="75"/>
      <c r="D161" s="74"/>
      <c r="E161" s="40"/>
      <c r="F161" s="40"/>
      <c r="G161" s="40"/>
    </row>
    <row r="162" spans="3:7" x14ac:dyDescent="0.45">
      <c r="C162" s="75"/>
      <c r="D162" s="74"/>
      <c r="E162" s="40"/>
      <c r="F162" s="40"/>
      <c r="G162" s="40"/>
    </row>
    <row r="163" spans="3:7" x14ac:dyDescent="0.45">
      <c r="C163" s="75"/>
      <c r="D163" s="74"/>
      <c r="E163" s="40"/>
      <c r="F163" s="40"/>
      <c r="G163" s="40"/>
    </row>
    <row r="164" spans="3:7" x14ac:dyDescent="0.45">
      <c r="C164" s="75"/>
      <c r="D164" s="74"/>
      <c r="E164" s="40"/>
      <c r="F164" s="40"/>
      <c r="G164" s="40"/>
    </row>
    <row r="165" spans="3:7" x14ac:dyDescent="0.45">
      <c r="C165" s="75"/>
      <c r="D165" s="74"/>
      <c r="E165" s="40"/>
      <c r="F165" s="40"/>
      <c r="G165" s="40"/>
    </row>
    <row r="166" spans="3:7" x14ac:dyDescent="0.45">
      <c r="C166" s="75"/>
      <c r="D166" s="74"/>
      <c r="E166" s="40"/>
      <c r="F166" s="40"/>
      <c r="G166" s="40"/>
    </row>
    <row r="167" spans="3:7" x14ac:dyDescent="0.45">
      <c r="C167" s="75"/>
      <c r="D167" s="74"/>
      <c r="E167" s="40"/>
      <c r="F167" s="40"/>
      <c r="G167" s="40"/>
    </row>
    <row r="168" spans="3:7" x14ac:dyDescent="0.45">
      <c r="C168" s="75"/>
      <c r="D168" s="74"/>
      <c r="E168" s="40"/>
      <c r="F168" s="40"/>
      <c r="G168" s="40"/>
    </row>
    <row r="169" spans="3:7" x14ac:dyDescent="0.45">
      <c r="C169" s="75"/>
      <c r="D169" s="74"/>
      <c r="E169" s="40"/>
      <c r="F169" s="40"/>
      <c r="G169" s="40"/>
    </row>
    <row r="170" spans="3:7" x14ac:dyDescent="0.45">
      <c r="C170" s="75"/>
      <c r="D170" s="74"/>
      <c r="E170" s="40"/>
      <c r="F170" s="40"/>
      <c r="G170" s="40"/>
    </row>
    <row r="171" spans="3:7" x14ac:dyDescent="0.45">
      <c r="C171" s="75"/>
      <c r="D171" s="74"/>
      <c r="E171" s="40"/>
      <c r="F171" s="40"/>
      <c r="G171" s="40"/>
    </row>
    <row r="172" spans="3:7" x14ac:dyDescent="0.45">
      <c r="C172" s="75"/>
      <c r="D172" s="74"/>
      <c r="E172" s="40"/>
      <c r="F172" s="40"/>
      <c r="G172" s="40"/>
    </row>
    <row r="173" spans="3:7" x14ac:dyDescent="0.45">
      <c r="C173" s="75"/>
      <c r="D173" s="74"/>
      <c r="E173" s="40"/>
      <c r="F173" s="40"/>
      <c r="G173" s="40"/>
    </row>
    <row r="174" spans="3:7" x14ac:dyDescent="0.45">
      <c r="C174" s="75"/>
      <c r="D174" s="74"/>
      <c r="E174" s="40"/>
      <c r="F174" s="40"/>
      <c r="G174" s="40"/>
    </row>
    <row r="175" spans="3:7" x14ac:dyDescent="0.45">
      <c r="C175" s="75"/>
      <c r="D175" s="74"/>
      <c r="E175" s="40"/>
      <c r="F175" s="40"/>
      <c r="G175" s="40"/>
    </row>
    <row r="176" spans="3:7" x14ac:dyDescent="0.45">
      <c r="C176" s="75"/>
      <c r="D176" s="74"/>
      <c r="E176" s="40"/>
      <c r="F176" s="40"/>
      <c r="G176" s="40"/>
    </row>
    <row r="177" spans="3:7" x14ac:dyDescent="0.45">
      <c r="C177" s="75"/>
      <c r="D177" s="74"/>
      <c r="E177" s="40"/>
      <c r="F177" s="40"/>
      <c r="G177" s="40"/>
    </row>
    <row r="178" spans="3:7" x14ac:dyDescent="0.45">
      <c r="C178" s="75"/>
      <c r="D178" s="74"/>
      <c r="E178" s="40"/>
      <c r="F178" s="40"/>
      <c r="G178" s="40"/>
    </row>
    <row r="179" spans="3:7" x14ac:dyDescent="0.45">
      <c r="C179" s="75"/>
      <c r="D179" s="74"/>
      <c r="E179" s="40"/>
      <c r="F179" s="40"/>
      <c r="G179" s="40"/>
    </row>
    <row r="180" spans="3:7" x14ac:dyDescent="0.45">
      <c r="C180" s="75"/>
      <c r="D180" s="74"/>
      <c r="E180" s="40"/>
      <c r="F180" s="40"/>
      <c r="G180" s="40"/>
    </row>
    <row r="181" spans="3:7" x14ac:dyDescent="0.45">
      <c r="C181" s="75"/>
      <c r="D181" s="74"/>
      <c r="E181" s="40"/>
      <c r="F181" s="40"/>
      <c r="G181" s="40"/>
    </row>
    <row r="182" spans="3:7" x14ac:dyDescent="0.45">
      <c r="C182" s="75"/>
      <c r="D182" s="74"/>
      <c r="E182" s="40"/>
      <c r="F182" s="40"/>
      <c r="G182" s="40"/>
    </row>
    <row r="183" spans="3:7" x14ac:dyDescent="0.45">
      <c r="C183" s="75"/>
      <c r="D183" s="74"/>
      <c r="E183" s="40"/>
      <c r="F183" s="40"/>
      <c r="G183" s="40"/>
    </row>
    <row r="184" spans="3:7" x14ac:dyDescent="0.45">
      <c r="C184" s="75"/>
      <c r="D184" s="74"/>
      <c r="E184" s="40"/>
      <c r="F184" s="40"/>
      <c r="G184" s="40"/>
    </row>
    <row r="185" spans="3:7" x14ac:dyDescent="0.45">
      <c r="C185" s="75"/>
      <c r="D185" s="74"/>
      <c r="E185" s="40"/>
      <c r="F185" s="40"/>
      <c r="G185" s="40"/>
    </row>
    <row r="186" spans="3:7" x14ac:dyDescent="0.45">
      <c r="C186" s="75"/>
      <c r="D186" s="74"/>
      <c r="E186" s="40"/>
      <c r="F186" s="40"/>
      <c r="G186" s="40"/>
    </row>
    <row r="187" spans="3:7" x14ac:dyDescent="0.45">
      <c r="C187" s="75"/>
      <c r="D187" s="74"/>
      <c r="E187" s="40"/>
      <c r="F187" s="40"/>
      <c r="G187" s="40"/>
    </row>
    <row r="188" spans="3:7" x14ac:dyDescent="0.45">
      <c r="C188" s="75"/>
      <c r="D188" s="74"/>
      <c r="E188" s="40"/>
      <c r="F188" s="40"/>
      <c r="G188" s="40"/>
    </row>
    <row r="189" spans="3:7" x14ac:dyDescent="0.45">
      <c r="C189" s="75"/>
      <c r="D189" s="74"/>
      <c r="E189" s="40"/>
      <c r="F189" s="40"/>
      <c r="G189" s="40"/>
    </row>
    <row r="190" spans="3:7" x14ac:dyDescent="0.45">
      <c r="C190" s="75"/>
      <c r="D190" s="74"/>
      <c r="E190" s="40"/>
      <c r="F190" s="40"/>
      <c r="G190" s="40"/>
    </row>
    <row r="191" spans="3:7" x14ac:dyDescent="0.45">
      <c r="C191" s="75"/>
      <c r="D191" s="74"/>
      <c r="E191" s="40"/>
      <c r="F191" s="40"/>
      <c r="G191" s="40"/>
    </row>
    <row r="192" spans="3:7" x14ac:dyDescent="0.45">
      <c r="C192" s="75"/>
      <c r="D192" s="74"/>
      <c r="E192" s="40"/>
      <c r="F192" s="40"/>
      <c r="G192" s="40"/>
    </row>
    <row r="193" spans="3:7" x14ac:dyDescent="0.45">
      <c r="C193" s="75"/>
      <c r="D193" s="74"/>
      <c r="E193" s="40"/>
      <c r="F193" s="40"/>
      <c r="G193" s="40"/>
    </row>
    <row r="194" spans="3:7" x14ac:dyDescent="0.45">
      <c r="C194" s="75"/>
      <c r="D194" s="74"/>
      <c r="E194" s="40"/>
      <c r="F194" s="40"/>
      <c r="G194" s="40"/>
    </row>
    <row r="195" spans="3:7" x14ac:dyDescent="0.45">
      <c r="C195" s="75"/>
      <c r="D195" s="74"/>
      <c r="E195" s="40"/>
      <c r="F195" s="40"/>
      <c r="G195" s="40"/>
    </row>
    <row r="196" spans="3:7" x14ac:dyDescent="0.45">
      <c r="C196" s="75"/>
      <c r="D196" s="74"/>
      <c r="E196" s="40"/>
      <c r="F196" s="40"/>
      <c r="G196" s="40"/>
    </row>
    <row r="197" spans="3:7" x14ac:dyDescent="0.45">
      <c r="C197" s="75"/>
      <c r="D197" s="74"/>
      <c r="E197" s="40"/>
      <c r="F197" s="40"/>
      <c r="G197" s="40"/>
    </row>
    <row r="198" spans="3:7" x14ac:dyDescent="0.45">
      <c r="C198" s="75"/>
      <c r="D198" s="74"/>
      <c r="E198" s="40"/>
      <c r="F198" s="40"/>
      <c r="G198" s="40"/>
    </row>
    <row r="199" spans="3:7" x14ac:dyDescent="0.45">
      <c r="C199" s="75"/>
      <c r="D199" s="74"/>
      <c r="E199" s="40"/>
      <c r="F199" s="40"/>
      <c r="G199" s="40"/>
    </row>
    <row r="200" spans="3:7" x14ac:dyDescent="0.45">
      <c r="C200" s="75"/>
      <c r="D200" s="74"/>
      <c r="E200" s="40"/>
      <c r="F200" s="40"/>
      <c r="G200" s="40"/>
    </row>
    <row r="201" spans="3:7" x14ac:dyDescent="0.45">
      <c r="C201" s="75"/>
      <c r="D201" s="74"/>
      <c r="E201" s="40"/>
      <c r="F201" s="40"/>
      <c r="G201" s="40"/>
    </row>
    <row r="202" spans="3:7" x14ac:dyDescent="0.45">
      <c r="C202" s="75"/>
      <c r="D202" s="74"/>
      <c r="E202" s="40"/>
      <c r="F202" s="40"/>
      <c r="G202" s="40"/>
    </row>
    <row r="203" spans="3:7" x14ac:dyDescent="0.45">
      <c r="C203" s="75"/>
      <c r="D203" s="74"/>
      <c r="E203" s="40"/>
      <c r="F203" s="40"/>
      <c r="G203" s="40"/>
    </row>
    <row r="204" spans="3:7" x14ac:dyDescent="0.45">
      <c r="C204" s="75"/>
      <c r="D204" s="74"/>
      <c r="E204" s="40"/>
      <c r="F204" s="40"/>
      <c r="G204" s="40"/>
    </row>
    <row r="205" spans="3:7" x14ac:dyDescent="0.45">
      <c r="C205" s="75"/>
      <c r="D205" s="74"/>
      <c r="E205" s="40"/>
      <c r="F205" s="40"/>
      <c r="G205" s="40"/>
    </row>
    <row r="206" spans="3:7" x14ac:dyDescent="0.45">
      <c r="C206" s="75"/>
      <c r="D206" s="74"/>
      <c r="E206" s="40"/>
      <c r="F206" s="40"/>
      <c r="G206" s="40"/>
    </row>
    <row r="207" spans="3:7" x14ac:dyDescent="0.45">
      <c r="C207" s="75"/>
      <c r="D207" s="74"/>
      <c r="E207" s="40"/>
      <c r="F207" s="40"/>
      <c r="G207" s="40"/>
    </row>
    <row r="208" spans="3:7" x14ac:dyDescent="0.45">
      <c r="C208" s="75"/>
      <c r="D208" s="74"/>
      <c r="E208" s="40"/>
      <c r="F208" s="40"/>
      <c r="G208" s="40"/>
    </row>
    <row r="209" spans="3:7" x14ac:dyDescent="0.45">
      <c r="C209" s="75"/>
      <c r="D209" s="74"/>
      <c r="E209" s="40"/>
      <c r="F209" s="40"/>
      <c r="G209" s="40"/>
    </row>
    <row r="210" spans="3:7" x14ac:dyDescent="0.45">
      <c r="C210" s="75"/>
      <c r="D210" s="74"/>
      <c r="E210" s="40"/>
      <c r="F210" s="40"/>
      <c r="G210" s="40"/>
    </row>
    <row r="211" spans="3:7" x14ac:dyDescent="0.45">
      <c r="C211" s="75"/>
      <c r="D211" s="74"/>
      <c r="E211" s="40"/>
      <c r="F211" s="40"/>
      <c r="G211" s="40"/>
    </row>
    <row r="212" spans="3:7" x14ac:dyDescent="0.45">
      <c r="C212" s="75"/>
      <c r="D212" s="74"/>
      <c r="E212" s="40"/>
      <c r="F212" s="40"/>
      <c r="G212" s="40"/>
    </row>
    <row r="213" spans="3:7" x14ac:dyDescent="0.45">
      <c r="C213" s="75"/>
      <c r="D213" s="74"/>
      <c r="E213" s="40"/>
      <c r="F213" s="40"/>
      <c r="G213" s="40"/>
    </row>
    <row r="214" spans="3:7" x14ac:dyDescent="0.45">
      <c r="C214" s="75"/>
      <c r="D214" s="74"/>
      <c r="E214" s="40"/>
      <c r="F214" s="40"/>
      <c r="G214" s="40"/>
    </row>
    <row r="215" spans="3:7" x14ac:dyDescent="0.45">
      <c r="C215" s="75"/>
      <c r="D215" s="74"/>
      <c r="E215" s="40"/>
      <c r="F215" s="40"/>
      <c r="G215" s="40"/>
    </row>
    <row r="216" spans="3:7" x14ac:dyDescent="0.45">
      <c r="C216" s="75"/>
      <c r="D216" s="74"/>
      <c r="E216" s="40"/>
      <c r="F216" s="40"/>
      <c r="G216" s="40"/>
    </row>
    <row r="217" spans="3:7" x14ac:dyDescent="0.45">
      <c r="C217" s="75"/>
      <c r="D217" s="74"/>
      <c r="E217" s="40"/>
      <c r="F217" s="40"/>
      <c r="G217" s="40"/>
    </row>
    <row r="218" spans="3:7" x14ac:dyDescent="0.45">
      <c r="C218" s="75"/>
      <c r="D218" s="74"/>
      <c r="E218" s="40"/>
      <c r="F218" s="40"/>
      <c r="G218" s="40"/>
    </row>
    <row r="219" spans="3:7" x14ac:dyDescent="0.45">
      <c r="C219" s="75"/>
      <c r="D219" s="74"/>
      <c r="E219" s="40"/>
      <c r="F219" s="40"/>
      <c r="G219" s="40"/>
    </row>
    <row r="220" spans="3:7" x14ac:dyDescent="0.45">
      <c r="C220" s="75"/>
      <c r="D220" s="74"/>
      <c r="E220" s="40"/>
      <c r="F220" s="40"/>
      <c r="G220" s="40"/>
    </row>
    <row r="221" spans="3:7" x14ac:dyDescent="0.45">
      <c r="C221" s="75"/>
      <c r="D221" s="74"/>
      <c r="E221" s="40"/>
      <c r="F221" s="40"/>
      <c r="G221" s="40"/>
    </row>
    <row r="222" spans="3:7" x14ac:dyDescent="0.45">
      <c r="C222" s="75"/>
      <c r="D222" s="74"/>
      <c r="E222" s="40"/>
      <c r="F222" s="40"/>
      <c r="G222" s="40"/>
    </row>
    <row r="223" spans="3:7" x14ac:dyDescent="0.45">
      <c r="C223" s="75"/>
      <c r="D223" s="74"/>
      <c r="E223" s="40"/>
      <c r="F223" s="40"/>
      <c r="G223" s="40"/>
    </row>
    <row r="224" spans="3:7" x14ac:dyDescent="0.45">
      <c r="C224" s="75"/>
      <c r="D224" s="74"/>
    </row>
    <row r="225" spans="3:4" x14ac:dyDescent="0.45">
      <c r="C225" s="75"/>
      <c r="D225" s="74"/>
    </row>
    <row r="226" spans="3:4" x14ac:dyDescent="0.45">
      <c r="C226" s="75"/>
      <c r="D226" s="74"/>
    </row>
    <row r="227" spans="3:4" x14ac:dyDescent="0.45">
      <c r="C227" s="75"/>
      <c r="D227" s="74"/>
    </row>
    <row r="228" spans="3:4" x14ac:dyDescent="0.45">
      <c r="C228" s="75"/>
      <c r="D228" s="74"/>
    </row>
    <row r="229" spans="3:4" x14ac:dyDescent="0.45">
      <c r="C229" s="75"/>
      <c r="D229" s="74"/>
    </row>
    <row r="230" spans="3:4" x14ac:dyDescent="0.45">
      <c r="C230" s="75"/>
      <c r="D230" s="74"/>
    </row>
    <row r="231" spans="3:4" x14ac:dyDescent="0.45">
      <c r="C231" s="75"/>
      <c r="D231" s="74"/>
    </row>
    <row r="232" spans="3:4" x14ac:dyDescent="0.45">
      <c r="C232" s="75"/>
      <c r="D232" s="74"/>
    </row>
    <row r="233" spans="3:4" x14ac:dyDescent="0.45">
      <c r="C233" s="75"/>
      <c r="D233" s="74"/>
    </row>
    <row r="234" spans="3:4" x14ac:dyDescent="0.45">
      <c r="C234" s="75"/>
      <c r="D234" s="74"/>
    </row>
    <row r="235" spans="3:4" x14ac:dyDescent="0.45">
      <c r="C235" s="75"/>
      <c r="D235" s="74"/>
    </row>
    <row r="236" spans="3:4" x14ac:dyDescent="0.45">
      <c r="C236" s="75"/>
      <c r="D236" s="74"/>
    </row>
    <row r="237" spans="3:4" x14ac:dyDescent="0.45">
      <c r="C237" s="75"/>
      <c r="D237" s="74"/>
    </row>
    <row r="238" spans="3:4" x14ac:dyDescent="0.45">
      <c r="C238" s="75"/>
      <c r="D238" s="74"/>
    </row>
    <row r="239" spans="3:4" x14ac:dyDescent="0.45">
      <c r="C239" s="73"/>
    </row>
    <row r="240" spans="3:4" x14ac:dyDescent="0.45">
      <c r="C240" s="73"/>
    </row>
    <row r="241" spans="3:3" x14ac:dyDescent="0.45">
      <c r="C241" s="73"/>
    </row>
    <row r="242" spans="3:3" x14ac:dyDescent="0.45">
      <c r="C242" s="73"/>
    </row>
    <row r="243" spans="3:3" x14ac:dyDescent="0.45">
      <c r="C243" s="73"/>
    </row>
    <row r="244" spans="3:3" x14ac:dyDescent="0.45">
      <c r="C244" s="73"/>
    </row>
    <row r="245" spans="3:3" x14ac:dyDescent="0.45">
      <c r="C245" s="73"/>
    </row>
    <row r="246" spans="3:3" x14ac:dyDescent="0.45">
      <c r="C246" s="73"/>
    </row>
    <row r="247" spans="3:3" x14ac:dyDescent="0.45">
      <c r="C247" s="73"/>
    </row>
    <row r="248" spans="3:3" x14ac:dyDescent="0.45">
      <c r="C248" s="73"/>
    </row>
    <row r="249" spans="3:3" x14ac:dyDescent="0.45">
      <c r="C249" s="73"/>
    </row>
    <row r="250" spans="3:3" x14ac:dyDescent="0.45">
      <c r="C250" s="73"/>
    </row>
    <row r="251" spans="3:3" x14ac:dyDescent="0.45">
      <c r="C251" s="73"/>
    </row>
    <row r="252" spans="3:3" x14ac:dyDescent="0.45">
      <c r="C252" s="73"/>
    </row>
    <row r="253" spans="3:3" x14ac:dyDescent="0.45">
      <c r="C253" s="73"/>
    </row>
    <row r="254" spans="3:3" x14ac:dyDescent="0.45">
      <c r="C254" s="73"/>
    </row>
    <row r="255" spans="3:3" x14ac:dyDescent="0.45">
      <c r="C255" s="73"/>
    </row>
    <row r="256" spans="3:3" x14ac:dyDescent="0.45">
      <c r="C256" s="73"/>
    </row>
    <row r="257" spans="3:3" x14ac:dyDescent="0.45">
      <c r="C257" s="73"/>
    </row>
    <row r="258" spans="3:3" x14ac:dyDescent="0.45">
      <c r="C258" s="73"/>
    </row>
    <row r="259" spans="3:3" x14ac:dyDescent="0.45">
      <c r="C259" s="73"/>
    </row>
    <row r="260" spans="3:3" x14ac:dyDescent="0.45">
      <c r="C260" s="73"/>
    </row>
    <row r="261" spans="3:3" x14ac:dyDescent="0.45">
      <c r="C261" s="73"/>
    </row>
    <row r="262" spans="3:3" x14ac:dyDescent="0.45">
      <c r="C262" s="73"/>
    </row>
    <row r="263" spans="3:3" x14ac:dyDescent="0.45">
      <c r="C263" s="73"/>
    </row>
    <row r="264" spans="3:3" x14ac:dyDescent="0.45">
      <c r="C264" s="73"/>
    </row>
    <row r="265" spans="3:3" x14ac:dyDescent="0.45">
      <c r="C265" s="73"/>
    </row>
    <row r="266" spans="3:3" x14ac:dyDescent="0.45">
      <c r="C266" s="73"/>
    </row>
    <row r="267" spans="3:3" x14ac:dyDescent="0.45">
      <c r="C267" s="73"/>
    </row>
    <row r="268" spans="3:3" x14ac:dyDescent="0.45">
      <c r="C268" s="73"/>
    </row>
    <row r="269" spans="3:3" x14ac:dyDescent="0.45">
      <c r="C269" s="73"/>
    </row>
    <row r="270" spans="3:3" x14ac:dyDescent="0.45">
      <c r="C270" s="73"/>
    </row>
    <row r="271" spans="3:3" x14ac:dyDescent="0.45">
      <c r="C271" s="73"/>
    </row>
    <row r="272" spans="3:3" x14ac:dyDescent="0.45">
      <c r="C272" s="73"/>
    </row>
    <row r="273" spans="3:3" x14ac:dyDescent="0.45">
      <c r="C273" s="73"/>
    </row>
    <row r="274" spans="3:3" x14ac:dyDescent="0.45">
      <c r="C274" s="73"/>
    </row>
    <row r="275" spans="3:3" x14ac:dyDescent="0.45">
      <c r="C275" s="73"/>
    </row>
    <row r="276" spans="3:3" x14ac:dyDescent="0.45">
      <c r="C276" s="73"/>
    </row>
    <row r="277" spans="3:3" x14ac:dyDescent="0.45">
      <c r="C277" s="73"/>
    </row>
    <row r="278" spans="3:3" x14ac:dyDescent="0.45">
      <c r="C278" s="73"/>
    </row>
    <row r="279" spans="3:3" x14ac:dyDescent="0.45">
      <c r="C279" s="73"/>
    </row>
    <row r="280" spans="3:3" x14ac:dyDescent="0.45">
      <c r="C280" s="73"/>
    </row>
    <row r="281" spans="3:3" x14ac:dyDescent="0.45">
      <c r="C281" s="73"/>
    </row>
    <row r="282" spans="3:3" x14ac:dyDescent="0.45">
      <c r="C282" s="73"/>
    </row>
    <row r="283" spans="3:3" x14ac:dyDescent="0.45">
      <c r="C283" s="73"/>
    </row>
    <row r="284" spans="3:3" x14ac:dyDescent="0.45">
      <c r="C284" s="73"/>
    </row>
    <row r="285" spans="3:3" x14ac:dyDescent="0.45">
      <c r="C285" s="73"/>
    </row>
    <row r="286" spans="3:3" x14ac:dyDescent="0.45">
      <c r="C286" s="73"/>
    </row>
    <row r="287" spans="3:3" x14ac:dyDescent="0.45">
      <c r="C287" s="73"/>
    </row>
    <row r="288" spans="3:3" x14ac:dyDescent="0.45">
      <c r="C288" s="73"/>
    </row>
    <row r="289" spans="3:3" x14ac:dyDescent="0.45">
      <c r="C289" s="73"/>
    </row>
    <row r="290" spans="3:3" x14ac:dyDescent="0.45">
      <c r="C290" s="73"/>
    </row>
    <row r="291" spans="3:3" x14ac:dyDescent="0.45">
      <c r="C291" s="73"/>
    </row>
    <row r="292" spans="3:3" x14ac:dyDescent="0.45">
      <c r="C292" s="73"/>
    </row>
    <row r="293" spans="3:3" x14ac:dyDescent="0.45">
      <c r="C293" s="73"/>
    </row>
    <row r="294" spans="3:3" x14ac:dyDescent="0.45">
      <c r="C294" s="73"/>
    </row>
    <row r="295" spans="3:3" x14ac:dyDescent="0.45">
      <c r="C295" s="73"/>
    </row>
  </sheetData>
  <dataValidations count="1">
    <dataValidation type="decimal" allowBlank="1" showInputMessage="1" showErrorMessage="1" sqref="I2" xr:uid="{5D668544-20E0-4B21-9BC1-5954ED14E8EE}">
      <formula1>0</formula1>
      <formula2>6</formula2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D559-D74D-4C87-BC94-015C75FA8D73}">
  <sheetPr>
    <tabColor theme="5" tint="-0.249977111117893"/>
  </sheetPr>
  <dimension ref="B1:J33"/>
  <sheetViews>
    <sheetView topLeftCell="A4" workbookViewId="0">
      <selection activeCell="G31" sqref="G31"/>
    </sheetView>
  </sheetViews>
  <sheetFormatPr defaultRowHeight="24.75" x14ac:dyDescent="0.5"/>
  <cols>
    <col min="1" max="1" width="9.140625" style="86"/>
    <col min="2" max="2" width="10.42578125" style="86" customWidth="1"/>
    <col min="3" max="3" width="38.42578125" style="86" customWidth="1"/>
    <col min="4" max="7" width="24.7109375" style="86" customWidth="1"/>
    <col min="8" max="8" width="24.42578125" style="86" customWidth="1"/>
    <col min="9" max="9" width="8.7109375" style="86" customWidth="1"/>
    <col min="10" max="10" width="18.85546875" style="86" customWidth="1"/>
    <col min="11" max="11" width="12.7109375" style="86" customWidth="1"/>
    <col min="12" max="16384" width="9.140625" style="86"/>
  </cols>
  <sheetData>
    <row r="1" spans="2:10" ht="12.75" customHeight="1" x14ac:dyDescent="0.5"/>
    <row r="2" spans="2:10" x14ac:dyDescent="0.5">
      <c r="B2" s="100" t="s">
        <v>90</v>
      </c>
      <c r="C2" s="85" t="s">
        <v>91</v>
      </c>
    </row>
    <row r="5" spans="2:10" x14ac:dyDescent="0.5">
      <c r="B5" s="101" t="s">
        <v>104</v>
      </c>
    </row>
    <row r="6" spans="2:10" ht="8.25" customHeight="1" x14ac:dyDescent="0.5"/>
    <row r="7" spans="2:10" x14ac:dyDescent="0.5">
      <c r="B7" s="94"/>
      <c r="C7" s="94"/>
      <c r="D7" s="96" t="s">
        <v>93</v>
      </c>
      <c r="E7" s="157" t="s">
        <v>94</v>
      </c>
      <c r="F7" s="158"/>
      <c r="G7" s="157" t="s">
        <v>107</v>
      </c>
      <c r="H7" s="158"/>
      <c r="J7" s="109" t="s">
        <v>94</v>
      </c>
    </row>
    <row r="8" spans="2:10" x14ac:dyDescent="0.5">
      <c r="B8" s="95" t="s">
        <v>92</v>
      </c>
      <c r="C8" s="95" t="s">
        <v>34</v>
      </c>
      <c r="D8" s="97">
        <v>36981</v>
      </c>
      <c r="E8" s="98">
        <v>36981</v>
      </c>
      <c r="F8" s="99">
        <v>44286</v>
      </c>
      <c r="G8" s="106" t="s">
        <v>108</v>
      </c>
      <c r="H8" s="108" t="s">
        <v>109</v>
      </c>
      <c r="J8" s="110">
        <v>29676</v>
      </c>
    </row>
    <row r="9" spans="2:10" ht="8.25" customHeight="1" x14ac:dyDescent="0.5"/>
    <row r="10" spans="2:10" x14ac:dyDescent="0.5">
      <c r="B10" s="87">
        <v>1</v>
      </c>
      <c r="C10" s="84" t="s">
        <v>89</v>
      </c>
      <c r="D10" s="88">
        <v>477406</v>
      </c>
      <c r="E10" s="89">
        <v>22.588512000000001</v>
      </c>
      <c r="F10" s="89">
        <v>13.13</v>
      </c>
      <c r="G10" s="90">
        <f>(F10/E10)^(1/20)-1</f>
        <v>-2.6762453642423134E-2</v>
      </c>
      <c r="H10" s="104">
        <f>(E10/J10)^(1/20)-1</f>
        <v>0.21968424154182187</v>
      </c>
      <c r="J10" s="107">
        <v>0.425539</v>
      </c>
    </row>
    <row r="11" spans="2:10" x14ac:dyDescent="0.5">
      <c r="B11" s="87">
        <v>2</v>
      </c>
      <c r="C11" s="84" t="s">
        <v>96</v>
      </c>
      <c r="D11" s="88">
        <v>304699</v>
      </c>
      <c r="E11" s="89">
        <v>11.740917</v>
      </c>
      <c r="F11" s="89">
        <v>51.341923000000001</v>
      </c>
      <c r="G11" s="90">
        <f>(F11/E11)^(1/20)-1</f>
        <v>7.6560660013005544E-2</v>
      </c>
      <c r="H11" s="104">
        <f>(E11/J11)^(1/((DATEVALUE("3/31/2001")-DATEVALUE("2/16/1990"))/365))-1</f>
        <v>0.61330611710740901</v>
      </c>
      <c r="J11" s="107">
        <v>5.7363999999999998E-2</v>
      </c>
    </row>
    <row r="12" spans="2:10" x14ac:dyDescent="0.5">
      <c r="B12" s="87">
        <v>3</v>
      </c>
      <c r="C12" s="84" t="s">
        <v>97</v>
      </c>
      <c r="D12" s="88">
        <v>286367</v>
      </c>
      <c r="E12" s="89">
        <v>21.733366</v>
      </c>
      <c r="F12" s="89">
        <v>55.028351000000001</v>
      </c>
      <c r="G12" s="90">
        <f t="shared" ref="G12:G14" si="0">(F12/E12)^(1/20)-1</f>
        <v>4.7545692188936783E-2</v>
      </c>
      <c r="H12" s="104">
        <f t="shared" ref="H12:H13" si="1">(E12/J12)^(1/20)-1</f>
        <v>0.17940911236038737</v>
      </c>
      <c r="J12" s="107">
        <v>0.80137800000000003</v>
      </c>
    </row>
    <row r="13" spans="2:10" x14ac:dyDescent="0.5">
      <c r="B13" s="87">
        <v>4</v>
      </c>
      <c r="C13" s="84" t="s">
        <v>216</v>
      </c>
      <c r="D13" s="88">
        <v>263996</v>
      </c>
      <c r="E13" s="89">
        <v>18.922916000000001</v>
      </c>
      <c r="F13" s="89">
        <v>35.876491999999999</v>
      </c>
      <c r="G13" s="90">
        <f t="shared" si="0"/>
        <v>3.250246099944043E-2</v>
      </c>
      <c r="H13" s="104">
        <f t="shared" si="1"/>
        <v>0.22673646934029223</v>
      </c>
      <c r="J13" s="107">
        <v>0.31766</v>
      </c>
    </row>
    <row r="14" spans="2:10" x14ac:dyDescent="0.5">
      <c r="B14" s="87">
        <v>5</v>
      </c>
      <c r="C14" s="84" t="s">
        <v>98</v>
      </c>
      <c r="D14" s="88">
        <v>258436</v>
      </c>
      <c r="E14" s="89">
        <v>17.327389</v>
      </c>
      <c r="F14" s="89">
        <v>235.22683699999999</v>
      </c>
      <c r="G14" s="90">
        <f t="shared" si="0"/>
        <v>0.13929892388496201</v>
      </c>
      <c r="H14" s="104">
        <f>(E14/J14)^(1/((DATEVALUE("3/31/2001")-DATEVALUE("3/13/1986"))/365))-1</f>
        <v>0.45418486075024678</v>
      </c>
      <c r="J14" s="107">
        <v>6.1608000000000003E-2</v>
      </c>
    </row>
    <row r="15" spans="2:10" x14ac:dyDescent="0.5">
      <c r="E15" s="92"/>
      <c r="F15" s="92"/>
      <c r="G15" s="91"/>
    </row>
    <row r="16" spans="2:10" x14ac:dyDescent="0.5">
      <c r="D16" s="105" t="s">
        <v>106</v>
      </c>
      <c r="E16" s="103">
        <v>1619.54</v>
      </c>
      <c r="F16" s="103">
        <v>8238.48</v>
      </c>
      <c r="G16" s="104">
        <f t="shared" ref="G16" si="2">(F16/E16)^(1/20)-1</f>
        <v>8.4732795386067483E-2</v>
      </c>
      <c r="H16" s="112" t="s">
        <v>113</v>
      </c>
    </row>
    <row r="17" spans="2:10" x14ac:dyDescent="0.5">
      <c r="G17" s="91"/>
      <c r="H17" s="104">
        <f>(1160.33/134.28)^(1/20)-1+(4.2%+2.4%)/2</f>
        <v>0.14685461712470213</v>
      </c>
      <c r="I17" s="102" t="s">
        <v>114</v>
      </c>
    </row>
    <row r="18" spans="2:10" x14ac:dyDescent="0.5">
      <c r="G18" s="91"/>
    </row>
    <row r="19" spans="2:10" x14ac:dyDescent="0.5">
      <c r="B19" s="101" t="s">
        <v>105</v>
      </c>
    </row>
    <row r="20" spans="2:10" ht="8.25" customHeight="1" x14ac:dyDescent="0.5"/>
    <row r="21" spans="2:10" x14ac:dyDescent="0.5">
      <c r="B21" s="94"/>
      <c r="C21" s="94"/>
      <c r="D21" s="96" t="s">
        <v>93</v>
      </c>
      <c r="E21" s="157" t="s">
        <v>94</v>
      </c>
      <c r="F21" s="158"/>
      <c r="G21" s="157" t="s">
        <v>107</v>
      </c>
      <c r="H21" s="158"/>
      <c r="J21" s="109" t="s">
        <v>94</v>
      </c>
    </row>
    <row r="22" spans="2:10" x14ac:dyDescent="0.5">
      <c r="B22" s="95" t="s">
        <v>92</v>
      </c>
      <c r="C22" s="95" t="s">
        <v>34</v>
      </c>
      <c r="D22" s="97">
        <v>44286</v>
      </c>
      <c r="E22" s="98" t="s">
        <v>99</v>
      </c>
      <c r="F22" s="98">
        <v>44286</v>
      </c>
      <c r="G22" s="106" t="s">
        <v>112</v>
      </c>
      <c r="H22" s="108" t="s">
        <v>109</v>
      </c>
      <c r="J22" s="110">
        <v>29676</v>
      </c>
    </row>
    <row r="23" spans="2:10" ht="8.25" customHeight="1" x14ac:dyDescent="0.5"/>
    <row r="24" spans="2:10" x14ac:dyDescent="0.5">
      <c r="B24" s="87">
        <v>1</v>
      </c>
      <c r="C24" s="84" t="s">
        <v>100</v>
      </c>
      <c r="D24" s="88">
        <v>2050000</v>
      </c>
      <c r="E24" s="89">
        <v>0.33889399999999997</v>
      </c>
      <c r="F24" s="89">
        <v>121.942871</v>
      </c>
      <c r="G24" s="90">
        <f t="shared" ref="G24:G26" si="3">(F24/E24)^(1/20)-1</f>
        <v>0.3421610361366354</v>
      </c>
      <c r="H24" s="104">
        <f t="shared" ref="H24:H25" si="4">(E24/J24)^(1/20)-1</f>
        <v>7.1061499829189412E-2</v>
      </c>
      <c r="J24" s="107">
        <v>8.5857000000000003E-2</v>
      </c>
    </row>
    <row r="25" spans="2:10" x14ac:dyDescent="0.5">
      <c r="B25" s="87">
        <v>2</v>
      </c>
      <c r="C25" s="84" t="s">
        <v>98</v>
      </c>
      <c r="D25" s="88">
        <v>1778000</v>
      </c>
      <c r="E25" s="89">
        <v>17.327389</v>
      </c>
      <c r="F25" s="89">
        <v>235.22683699999999</v>
      </c>
      <c r="G25" s="90">
        <f t="shared" si="3"/>
        <v>0.13929892388496201</v>
      </c>
      <c r="H25" s="104">
        <f t="shared" si="4"/>
        <v>0.32572913516802227</v>
      </c>
      <c r="J25" s="107">
        <v>6.1608000000000003E-2</v>
      </c>
    </row>
    <row r="26" spans="2:10" x14ac:dyDescent="0.5">
      <c r="B26" s="87">
        <v>3</v>
      </c>
      <c r="C26" s="84" t="s">
        <v>101</v>
      </c>
      <c r="D26" s="88">
        <v>1558000</v>
      </c>
      <c r="E26" s="89">
        <v>10.23</v>
      </c>
      <c r="F26" s="89">
        <v>3094.08</v>
      </c>
      <c r="G26" s="90">
        <f t="shared" si="3"/>
        <v>0.33055488948735867</v>
      </c>
      <c r="H26" s="104">
        <f>(E26/J26)^(1/((DATEVALUE("3/31/2001")-DATEVALUE("5/15/1997"))/365))-1</f>
        <v>0.53135144165095705</v>
      </c>
      <c r="J26" s="107">
        <v>1.9583330000000001</v>
      </c>
    </row>
    <row r="27" spans="2:10" x14ac:dyDescent="0.5">
      <c r="B27" s="87">
        <v>4</v>
      </c>
      <c r="C27" s="84" t="s">
        <v>102</v>
      </c>
      <c r="D27" s="88">
        <v>1395000</v>
      </c>
      <c r="E27" s="89">
        <v>50.22</v>
      </c>
      <c r="F27" s="89">
        <v>2062.52</v>
      </c>
      <c r="G27" s="90">
        <f>(F27/E27)^(1/((DATEVALUE("3/31/2021")-DATEVALUE("8/19/2004"))/365))-1</f>
        <v>0.25042002956804232</v>
      </c>
      <c r="H27" s="111" t="s">
        <v>110</v>
      </c>
      <c r="J27" s="111" t="s">
        <v>110</v>
      </c>
    </row>
    <row r="28" spans="2:10" x14ac:dyDescent="0.5">
      <c r="B28" s="87">
        <v>5</v>
      </c>
      <c r="C28" s="84" t="s">
        <v>103</v>
      </c>
      <c r="D28" s="88">
        <v>838720</v>
      </c>
      <c r="E28" s="89">
        <v>38.229999999999997</v>
      </c>
      <c r="F28" s="89">
        <v>294.52999999999997</v>
      </c>
      <c r="G28" s="90">
        <f>(F28/E28)^(1/((DATEVALUE("3/31/2021")-DATEVALUE("5/18/2012"))/365))-1</f>
        <v>0.25870590775310953</v>
      </c>
      <c r="H28" s="111" t="s">
        <v>110</v>
      </c>
      <c r="J28" s="111" t="s">
        <v>110</v>
      </c>
    </row>
    <row r="29" spans="2:10" x14ac:dyDescent="0.5">
      <c r="B29" s="93"/>
      <c r="D29" s="91"/>
      <c r="E29" s="92"/>
      <c r="F29" s="92"/>
    </row>
    <row r="30" spans="2:10" x14ac:dyDescent="0.5">
      <c r="D30" s="91"/>
      <c r="E30" s="92"/>
      <c r="F30" s="92"/>
    </row>
    <row r="31" spans="2:10" x14ac:dyDescent="0.5">
      <c r="B31" s="102" t="s">
        <v>95</v>
      </c>
      <c r="D31" s="91"/>
    </row>
    <row r="32" spans="2:10" ht="13.5" customHeight="1" x14ac:dyDescent="0.5">
      <c r="B32" s="102"/>
    </row>
    <row r="33" spans="2:2" x14ac:dyDescent="0.5">
      <c r="B33" s="102" t="s">
        <v>111</v>
      </c>
    </row>
  </sheetData>
  <mergeCells count="4">
    <mergeCell ref="E7:F7"/>
    <mergeCell ref="E21:F21"/>
    <mergeCell ref="G7:H7"/>
    <mergeCell ref="G21:H21"/>
  </mergeCells>
  <hyperlinks>
    <hyperlink ref="C2" r:id="rId1" location="2000" display="https://en.wikipedia.org/wiki/List_of_public_corporations_by_market_capitalization - 2000" xr:uid="{1CF14ACF-C34C-4D56-A954-22E621768F45}"/>
  </hyperlinks>
  <pageMargins left="0.7" right="0.7" top="0.75" bottom="0.75" header="0.3" footer="0.3"/>
  <pageSetup orientation="portrait" r:id="rId2"/>
  <ignoredErrors>
    <ignoredError sqref="H11" formula="1"/>
  </ignoredError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4E7C-EB81-4B67-B5F6-608DE4D6CC65}">
  <sheetPr>
    <tabColor theme="4" tint="-0.249977111117893"/>
  </sheetPr>
  <dimension ref="C1:S294"/>
  <sheetViews>
    <sheetView showGridLines="0" workbookViewId="0">
      <selection activeCell="K46" sqref="K46"/>
    </sheetView>
  </sheetViews>
  <sheetFormatPr defaultRowHeight="22.5" x14ac:dyDescent="0.45"/>
  <cols>
    <col min="1" max="1" width="9.140625" style="34"/>
    <col min="2" max="2" width="1.140625" style="34" customWidth="1"/>
    <col min="3" max="3" width="13.7109375" style="34" customWidth="1"/>
    <col min="4" max="4" width="13.7109375" style="57" customWidth="1"/>
    <col min="5" max="5" width="3.42578125" style="57" customWidth="1"/>
    <col min="6" max="6" width="13.7109375" style="62" customWidth="1"/>
    <col min="7" max="7" width="3.42578125" style="57" customWidth="1"/>
    <col min="8" max="8" width="13.7109375" style="62" customWidth="1"/>
    <col min="9" max="9" width="15.7109375" style="34" customWidth="1"/>
    <col min="10" max="18" width="9.140625" style="34"/>
    <col min="19" max="19" width="11.85546875" style="34" bestFit="1" customWidth="1"/>
    <col min="20" max="16384" width="9.140625" style="34"/>
  </cols>
  <sheetData>
    <row r="1" spans="3:19" ht="7.5" customHeight="1" x14ac:dyDescent="0.45">
      <c r="D1" s="34"/>
      <c r="E1" s="34"/>
      <c r="F1" s="56"/>
      <c r="G1" s="34"/>
      <c r="H1" s="56"/>
    </row>
    <row r="2" spans="3:19" x14ac:dyDescent="0.45">
      <c r="C2" s="57" t="s">
        <v>3</v>
      </c>
      <c r="D2" s="58">
        <v>5</v>
      </c>
      <c r="E2" s="34"/>
      <c r="F2" s="56"/>
      <c r="G2" s="34"/>
      <c r="H2" s="56"/>
    </row>
    <row r="3" spans="3:19" x14ac:dyDescent="0.45">
      <c r="C3" s="57" t="s">
        <v>4</v>
      </c>
      <c r="D3" s="58">
        <v>22</v>
      </c>
      <c r="E3" s="34"/>
      <c r="F3" s="56"/>
      <c r="G3" s="34"/>
      <c r="H3" s="56"/>
    </row>
    <row r="4" spans="3:19" x14ac:dyDescent="0.45">
      <c r="C4" s="57" t="s">
        <v>5</v>
      </c>
      <c r="D4" s="58">
        <v>1</v>
      </c>
      <c r="E4" s="34"/>
      <c r="F4" s="56"/>
      <c r="G4" s="34"/>
      <c r="H4" s="56"/>
    </row>
    <row r="6" spans="3:19" s="37" customFormat="1" ht="42" x14ac:dyDescent="0.55000000000000004">
      <c r="C6" s="59"/>
      <c r="D6" s="63" t="s">
        <v>84</v>
      </c>
      <c r="E6" s="63"/>
      <c r="F6" s="64" t="s">
        <v>82</v>
      </c>
      <c r="G6" s="63"/>
      <c r="H6" s="65" t="s">
        <v>83</v>
      </c>
    </row>
    <row r="7" spans="3:19" ht="18.95" customHeight="1" x14ac:dyDescent="0.45">
      <c r="C7" s="60" cm="1">
        <f t="array" ref="C7:C24">_xlfn.SEQUENCE((D3-D2)/D4+1,,D2,D4)</f>
        <v>5</v>
      </c>
      <c r="D7" s="66" t="str">
        <f>IF(C7&lt;&gt;"",_xlfn.CONCAT(C7, "x in ",C7),"")</f>
        <v>5x in 5</v>
      </c>
      <c r="E7" s="67"/>
      <c r="F7" s="68" cm="1">
        <f t="array" ref="F7:F24">(_xlfn.ANCHORARRAY(C7)/1)^(1/_xlfn.ANCHORARRAY(C7))-1</f>
        <v>0.3797296614612149</v>
      </c>
      <c r="G7" s="67"/>
      <c r="H7" s="69" cm="1">
        <f t="array" ref="H7:H24">(1+_xlfn.ANCHORARRAY(F7))^40</f>
        <v>390625.00000000081</v>
      </c>
    </row>
    <row r="8" spans="3:19" ht="18.95" customHeight="1" x14ac:dyDescent="0.45">
      <c r="C8" s="60">
        <v>6</v>
      </c>
      <c r="D8" s="66" t="str">
        <f t="shared" ref="D8:D71" si="0">IF(C8&lt;&gt;"",_xlfn.CONCAT(C8, "x in ",C8),"")</f>
        <v>6x in 6</v>
      </c>
      <c r="E8" s="67"/>
      <c r="F8" s="68">
        <v>0.34800615459727768</v>
      </c>
      <c r="G8" s="67"/>
      <c r="H8" s="69">
        <v>154054.7177244277</v>
      </c>
    </row>
    <row r="9" spans="3:19" ht="18.95" customHeight="1" x14ac:dyDescent="0.45">
      <c r="C9" s="60">
        <v>7</v>
      </c>
      <c r="D9" s="66" t="str">
        <f t="shared" si="0"/>
        <v>7x in 7</v>
      </c>
      <c r="E9" s="67"/>
      <c r="F9" s="68">
        <v>0.32046924775612373</v>
      </c>
      <c r="G9" s="67"/>
      <c r="H9" s="69">
        <v>67473.254319108892</v>
      </c>
      <c r="Q9" s="41"/>
    </row>
    <row r="10" spans="3:19" ht="18.95" customHeight="1" x14ac:dyDescent="0.45">
      <c r="C10" s="60">
        <v>8</v>
      </c>
      <c r="D10" s="66" t="str">
        <f t="shared" si="0"/>
        <v>8x in 8</v>
      </c>
      <c r="E10" s="67"/>
      <c r="F10" s="68">
        <v>0.29683955465100964</v>
      </c>
      <c r="G10" s="67"/>
      <c r="H10" s="69">
        <v>32767.999999999964</v>
      </c>
    </row>
    <row r="11" spans="3:19" ht="18.95" customHeight="1" x14ac:dyDescent="0.45">
      <c r="C11" s="60">
        <v>9</v>
      </c>
      <c r="D11" s="66" t="str">
        <f t="shared" si="0"/>
        <v>9x in 9</v>
      </c>
      <c r="E11" s="67"/>
      <c r="F11" s="68">
        <v>0.27651800700924167</v>
      </c>
      <c r="G11" s="67"/>
      <c r="H11" s="69">
        <v>17421.190097222549</v>
      </c>
    </row>
    <row r="12" spans="3:19" ht="18.95" customHeight="1" x14ac:dyDescent="0.45">
      <c r="C12" s="60">
        <v>10</v>
      </c>
      <c r="D12" s="66" t="str">
        <f t="shared" si="0"/>
        <v>10x in 10</v>
      </c>
      <c r="E12" s="67"/>
      <c r="F12" s="68">
        <v>0.25892541179416728</v>
      </c>
      <c r="G12" s="67"/>
      <c r="H12" s="69">
        <v>10000.00000000002</v>
      </c>
    </row>
    <row r="13" spans="3:19" ht="18.95" customHeight="1" x14ac:dyDescent="0.45">
      <c r="C13" s="60">
        <v>11</v>
      </c>
      <c r="D13" s="66" t="str">
        <f t="shared" si="0"/>
        <v>11x in 11</v>
      </c>
      <c r="E13" s="67"/>
      <c r="F13" s="68">
        <v>0.24357522791237085</v>
      </c>
      <c r="G13" s="67"/>
      <c r="H13" s="69">
        <v>6121.8472843716627</v>
      </c>
    </row>
    <row r="14" spans="3:19" ht="18.95" customHeight="1" x14ac:dyDescent="0.45">
      <c r="C14" s="60">
        <v>12</v>
      </c>
      <c r="D14" s="66" t="str">
        <f t="shared" si="0"/>
        <v>12x in 12</v>
      </c>
      <c r="E14" s="67"/>
      <c r="F14" s="68">
        <v>0.2300755055779713</v>
      </c>
      <c r="G14" s="67"/>
      <c r="H14" s="69">
        <v>3956.1324222643234</v>
      </c>
    </row>
    <row r="15" spans="3:19" ht="18.95" customHeight="1" x14ac:dyDescent="0.45">
      <c r="C15" s="60">
        <v>13</v>
      </c>
      <c r="D15" s="66" t="str">
        <f t="shared" si="0"/>
        <v>13x in 13</v>
      </c>
      <c r="E15" s="67"/>
      <c r="F15" s="68">
        <v>0.21811404356076824</v>
      </c>
      <c r="G15" s="67"/>
      <c r="H15" s="69">
        <v>2676.1965537030133</v>
      </c>
    </row>
    <row r="16" spans="3:19" ht="18.95" customHeight="1" x14ac:dyDescent="0.45">
      <c r="C16" s="60">
        <v>14</v>
      </c>
      <c r="D16" s="66" t="str">
        <f t="shared" si="0"/>
        <v>14x in 14</v>
      </c>
      <c r="E16" s="67"/>
      <c r="F16" s="68">
        <v>0.20744202741841122</v>
      </c>
      <c r="G16" s="67"/>
      <c r="H16" s="69">
        <v>1882.138292098387</v>
      </c>
      <c r="S16" s="38"/>
    </row>
    <row r="17" spans="3:8" ht="18.95" customHeight="1" x14ac:dyDescent="0.45">
      <c r="C17" s="60">
        <v>15</v>
      </c>
      <c r="D17" s="66" t="str">
        <f t="shared" si="0"/>
        <v>15x in 15</v>
      </c>
      <c r="E17" s="67"/>
      <c r="F17" s="68">
        <v>0.19786005826963615</v>
      </c>
      <c r="G17" s="67"/>
      <c r="H17" s="69">
        <v>1368.4954490040079</v>
      </c>
    </row>
    <row r="18" spans="3:8" ht="18.95" customHeight="1" x14ac:dyDescent="0.45">
      <c r="C18" s="60">
        <v>16</v>
      </c>
      <c r="D18" s="66" t="str">
        <f t="shared" si="0"/>
        <v>16x in 16</v>
      </c>
      <c r="E18" s="67"/>
      <c r="F18" s="68">
        <v>0.18920711500272103</v>
      </c>
      <c r="G18" s="67"/>
      <c r="H18" s="69">
        <v>1023.9999999999977</v>
      </c>
    </row>
    <row r="19" spans="3:8" ht="18.95" customHeight="1" x14ac:dyDescent="0.45">
      <c r="C19" s="60">
        <v>17</v>
      </c>
      <c r="D19" s="66" t="str">
        <f t="shared" si="0"/>
        <v>17x in 17</v>
      </c>
      <c r="E19" s="67"/>
      <c r="F19" s="68">
        <v>0.1813520746255457</v>
      </c>
      <c r="G19" s="67"/>
      <c r="H19" s="69">
        <v>785.5501803326033</v>
      </c>
    </row>
    <row r="20" spans="3:8" ht="18.95" customHeight="1" x14ac:dyDescent="0.45">
      <c r="C20" s="60">
        <v>18</v>
      </c>
      <c r="D20" s="66" t="str">
        <f t="shared" si="0"/>
        <v>18x in 18</v>
      </c>
      <c r="E20" s="67"/>
      <c r="F20" s="68">
        <v>0.17418725309966154</v>
      </c>
      <c r="G20" s="67"/>
      <c r="H20" s="69">
        <v>615.87766675452553</v>
      </c>
    </row>
    <row r="21" spans="3:8" ht="18.95" customHeight="1" x14ac:dyDescent="0.45">
      <c r="C21" s="60">
        <v>19</v>
      </c>
      <c r="D21" s="66" t="str">
        <f t="shared" si="0"/>
        <v>19x in 19</v>
      </c>
      <c r="E21" s="67"/>
      <c r="F21" s="68">
        <v>0.16762348369610769</v>
      </c>
      <c r="G21" s="67"/>
      <c r="H21" s="69">
        <v>492.16740048398793</v>
      </c>
    </row>
    <row r="22" spans="3:8" ht="18.95" customHeight="1" x14ac:dyDescent="0.45">
      <c r="C22" s="60">
        <v>20</v>
      </c>
      <c r="D22" s="66" t="str">
        <f t="shared" si="0"/>
        <v>20x in 20</v>
      </c>
      <c r="E22" s="67"/>
      <c r="F22" s="68">
        <v>0.16158634964154217</v>
      </c>
      <c r="G22" s="67"/>
      <c r="H22" s="69">
        <v>399.99999999999807</v>
      </c>
    </row>
    <row r="23" spans="3:8" ht="18.95" customHeight="1" x14ac:dyDescent="0.45">
      <c r="C23" s="60">
        <v>21</v>
      </c>
      <c r="D23" s="66" t="str">
        <f t="shared" si="0"/>
        <v>21x in 21</v>
      </c>
      <c r="E23" s="67"/>
      <c r="F23" s="68">
        <v>0.15601328100080325</v>
      </c>
      <c r="G23" s="67"/>
      <c r="H23" s="69">
        <v>329.9992420264773</v>
      </c>
    </row>
    <row r="24" spans="3:8" ht="18.95" customHeight="1" x14ac:dyDescent="0.45">
      <c r="C24" s="60">
        <v>22</v>
      </c>
      <c r="D24" s="66" t="str">
        <f t="shared" si="0"/>
        <v>22x in 22</v>
      </c>
      <c r="E24" s="67"/>
      <c r="F24" s="68">
        <v>0.15085130035827876</v>
      </c>
      <c r="G24" s="67"/>
      <c r="H24" s="69">
        <v>275.91067938547815</v>
      </c>
    </row>
    <row r="25" spans="3:8" ht="18.95" customHeight="1" x14ac:dyDescent="0.45">
      <c r="C25" s="60"/>
      <c r="D25" s="66" t="str">
        <f t="shared" si="0"/>
        <v/>
      </c>
      <c r="E25" s="67"/>
      <c r="F25" s="68"/>
      <c r="G25" s="67"/>
      <c r="H25" s="69"/>
    </row>
    <row r="26" spans="3:8" ht="18.95" customHeight="1" x14ac:dyDescent="0.45">
      <c r="C26" s="60"/>
      <c r="D26" s="66" t="str">
        <f t="shared" si="0"/>
        <v/>
      </c>
      <c r="E26" s="67"/>
      <c r="F26" s="68"/>
      <c r="G26" s="67"/>
      <c r="H26" s="69"/>
    </row>
    <row r="27" spans="3:8" ht="18.95" customHeight="1" x14ac:dyDescent="0.45">
      <c r="C27" s="60"/>
      <c r="D27" s="66" t="str">
        <f t="shared" si="0"/>
        <v/>
      </c>
      <c r="E27" s="67"/>
      <c r="F27" s="68"/>
      <c r="G27" s="67"/>
      <c r="H27" s="69"/>
    </row>
    <row r="28" spans="3:8" ht="18.95" customHeight="1" x14ac:dyDescent="0.45">
      <c r="C28" s="60"/>
      <c r="D28" s="66" t="str">
        <f t="shared" si="0"/>
        <v/>
      </c>
      <c r="E28" s="67"/>
      <c r="F28" s="68"/>
      <c r="G28" s="67"/>
      <c r="H28" s="69"/>
    </row>
    <row r="29" spans="3:8" ht="18.95" customHeight="1" x14ac:dyDescent="0.45">
      <c r="C29" s="60"/>
      <c r="D29" s="66" t="str">
        <f t="shared" si="0"/>
        <v/>
      </c>
      <c r="E29" s="67"/>
      <c r="F29" s="68"/>
      <c r="G29" s="67"/>
      <c r="H29" s="69"/>
    </row>
    <row r="30" spans="3:8" ht="18.95" customHeight="1" x14ac:dyDescent="0.45">
      <c r="C30" s="60"/>
      <c r="D30" s="66" t="str">
        <f t="shared" si="0"/>
        <v/>
      </c>
      <c r="E30" s="67"/>
      <c r="F30" s="68"/>
      <c r="G30" s="67"/>
      <c r="H30" s="69"/>
    </row>
    <row r="31" spans="3:8" ht="18.95" customHeight="1" x14ac:dyDescent="0.45">
      <c r="C31" s="60"/>
      <c r="D31" s="66" t="str">
        <f t="shared" si="0"/>
        <v/>
      </c>
      <c r="E31" s="67"/>
      <c r="F31" s="68"/>
      <c r="G31" s="67"/>
      <c r="H31" s="69"/>
    </row>
    <row r="32" spans="3:8" ht="18.95" customHeight="1" x14ac:dyDescent="0.45">
      <c r="C32" s="60"/>
      <c r="D32" s="66" t="str">
        <f t="shared" si="0"/>
        <v/>
      </c>
      <c r="E32" s="67"/>
      <c r="F32" s="68"/>
      <c r="G32" s="67"/>
      <c r="H32" s="69"/>
    </row>
    <row r="33" spans="3:8" ht="18.95" customHeight="1" x14ac:dyDescent="0.45">
      <c r="C33" s="60"/>
      <c r="D33" s="66" t="str">
        <f t="shared" si="0"/>
        <v/>
      </c>
      <c r="E33" s="67"/>
      <c r="F33" s="68"/>
      <c r="G33" s="67"/>
      <c r="H33" s="69"/>
    </row>
    <row r="34" spans="3:8" ht="18.95" customHeight="1" x14ac:dyDescent="0.45">
      <c r="C34" s="60"/>
      <c r="D34" s="66" t="str">
        <f t="shared" si="0"/>
        <v/>
      </c>
      <c r="E34" s="67"/>
      <c r="F34" s="68"/>
      <c r="G34" s="67"/>
      <c r="H34" s="69"/>
    </row>
    <row r="35" spans="3:8" ht="18.95" customHeight="1" x14ac:dyDescent="0.45">
      <c r="C35" s="60"/>
      <c r="D35" s="66" t="str">
        <f t="shared" si="0"/>
        <v/>
      </c>
      <c r="E35" s="67"/>
      <c r="F35" s="68"/>
      <c r="G35" s="67"/>
      <c r="H35" s="69"/>
    </row>
    <row r="36" spans="3:8" ht="18.95" customHeight="1" x14ac:dyDescent="0.45">
      <c r="C36" s="60"/>
      <c r="D36" s="66" t="str">
        <f t="shared" si="0"/>
        <v/>
      </c>
      <c r="E36" s="67"/>
      <c r="F36" s="68"/>
      <c r="G36" s="67"/>
      <c r="H36" s="69"/>
    </row>
    <row r="37" spans="3:8" ht="18.95" customHeight="1" x14ac:dyDescent="0.45">
      <c r="C37" s="60"/>
      <c r="D37" s="66" t="str">
        <f t="shared" si="0"/>
        <v/>
      </c>
      <c r="E37" s="67"/>
      <c r="F37" s="68"/>
      <c r="G37" s="67"/>
      <c r="H37" s="69"/>
    </row>
    <row r="38" spans="3:8" ht="18.95" customHeight="1" x14ac:dyDescent="0.45">
      <c r="C38" s="60"/>
      <c r="D38" s="66" t="str">
        <f t="shared" si="0"/>
        <v/>
      </c>
      <c r="E38" s="67"/>
      <c r="F38" s="68"/>
      <c r="G38" s="67"/>
      <c r="H38" s="69"/>
    </row>
    <row r="39" spans="3:8" ht="18.95" customHeight="1" x14ac:dyDescent="0.45">
      <c r="C39" s="60"/>
      <c r="D39" s="66" t="str">
        <f t="shared" si="0"/>
        <v/>
      </c>
      <c r="E39" s="67"/>
      <c r="F39" s="68"/>
      <c r="G39" s="67"/>
      <c r="H39" s="69"/>
    </row>
    <row r="40" spans="3:8" ht="18.95" customHeight="1" x14ac:dyDescent="0.45">
      <c r="C40" s="60"/>
      <c r="D40" s="66" t="str">
        <f t="shared" si="0"/>
        <v/>
      </c>
      <c r="E40" s="67"/>
      <c r="F40" s="68"/>
      <c r="G40" s="67"/>
      <c r="H40" s="69"/>
    </row>
    <row r="41" spans="3:8" ht="18.95" customHeight="1" x14ac:dyDescent="0.45">
      <c r="C41" s="60"/>
      <c r="D41" s="66" t="str">
        <f t="shared" si="0"/>
        <v/>
      </c>
      <c r="E41" s="67"/>
      <c r="F41" s="68"/>
      <c r="G41" s="67"/>
      <c r="H41" s="69"/>
    </row>
    <row r="42" spans="3:8" ht="18.95" customHeight="1" x14ac:dyDescent="0.45">
      <c r="C42" s="60"/>
      <c r="D42" s="66" t="str">
        <f t="shared" si="0"/>
        <v/>
      </c>
      <c r="E42" s="67"/>
      <c r="F42" s="68"/>
      <c r="G42" s="67"/>
      <c r="H42" s="69"/>
    </row>
    <row r="43" spans="3:8" ht="18.95" customHeight="1" x14ac:dyDescent="0.45">
      <c r="C43" s="60"/>
      <c r="D43" s="66" t="str">
        <f t="shared" si="0"/>
        <v/>
      </c>
      <c r="E43" s="67"/>
      <c r="F43" s="68"/>
      <c r="G43" s="67"/>
      <c r="H43" s="69"/>
    </row>
    <row r="44" spans="3:8" ht="18.95" customHeight="1" x14ac:dyDescent="0.45">
      <c r="C44" s="60"/>
      <c r="D44" s="66" t="str">
        <f t="shared" si="0"/>
        <v/>
      </c>
      <c r="E44" s="67"/>
      <c r="F44" s="68"/>
      <c r="G44" s="67"/>
      <c r="H44" s="69"/>
    </row>
    <row r="45" spans="3:8" ht="18.95" customHeight="1" x14ac:dyDescent="0.45">
      <c r="C45" s="60"/>
      <c r="D45" s="66" t="str">
        <f t="shared" si="0"/>
        <v/>
      </c>
      <c r="E45" s="67"/>
      <c r="F45" s="68"/>
      <c r="G45" s="67"/>
      <c r="H45" s="69"/>
    </row>
    <row r="46" spans="3:8" ht="18.95" customHeight="1" x14ac:dyDescent="0.45">
      <c r="C46" s="60"/>
      <c r="D46" s="66" t="str">
        <f t="shared" si="0"/>
        <v/>
      </c>
      <c r="E46" s="67"/>
      <c r="F46" s="68"/>
      <c r="G46" s="67"/>
      <c r="H46" s="69"/>
    </row>
    <row r="47" spans="3:8" ht="18.95" customHeight="1" x14ac:dyDescent="0.45">
      <c r="C47" s="60"/>
      <c r="D47" s="66" t="str">
        <f t="shared" si="0"/>
        <v/>
      </c>
      <c r="E47" s="67"/>
      <c r="F47" s="68"/>
      <c r="G47" s="67"/>
      <c r="H47" s="69"/>
    </row>
    <row r="48" spans="3:8" ht="18.95" customHeight="1" x14ac:dyDescent="0.45">
      <c r="C48" s="60"/>
      <c r="D48" s="66" t="str">
        <f t="shared" si="0"/>
        <v/>
      </c>
      <c r="E48" s="67"/>
      <c r="F48" s="68"/>
      <c r="G48" s="67"/>
      <c r="H48" s="69"/>
    </row>
    <row r="49" spans="3:8" ht="18.95" customHeight="1" x14ac:dyDescent="0.45">
      <c r="C49" s="60"/>
      <c r="D49" s="66" t="str">
        <f t="shared" si="0"/>
        <v/>
      </c>
      <c r="E49" s="67"/>
      <c r="F49" s="68"/>
      <c r="G49" s="67"/>
      <c r="H49" s="69"/>
    </row>
    <row r="50" spans="3:8" ht="18.95" customHeight="1" x14ac:dyDescent="0.45">
      <c r="C50" s="60"/>
      <c r="D50" s="66" t="str">
        <f t="shared" si="0"/>
        <v/>
      </c>
      <c r="E50" s="67"/>
      <c r="F50" s="68"/>
      <c r="G50" s="67"/>
      <c r="H50" s="69"/>
    </row>
    <row r="51" spans="3:8" ht="18.95" customHeight="1" x14ac:dyDescent="0.45">
      <c r="C51" s="60"/>
      <c r="D51" s="66" t="str">
        <f t="shared" si="0"/>
        <v/>
      </c>
      <c r="E51" s="67"/>
      <c r="F51" s="68"/>
      <c r="G51" s="67"/>
      <c r="H51" s="69"/>
    </row>
    <row r="52" spans="3:8" ht="18.95" customHeight="1" x14ac:dyDescent="0.45">
      <c r="C52" s="60"/>
      <c r="D52" s="66" t="str">
        <f t="shared" si="0"/>
        <v/>
      </c>
      <c r="E52" s="67"/>
      <c r="F52" s="68"/>
      <c r="G52" s="67"/>
      <c r="H52" s="69"/>
    </row>
    <row r="53" spans="3:8" ht="18.95" customHeight="1" x14ac:dyDescent="0.45">
      <c r="C53" s="60"/>
      <c r="D53" s="66" t="str">
        <f t="shared" si="0"/>
        <v/>
      </c>
      <c r="E53" s="67"/>
      <c r="F53" s="68"/>
      <c r="G53" s="67"/>
      <c r="H53" s="69"/>
    </row>
    <row r="54" spans="3:8" ht="18.95" customHeight="1" x14ac:dyDescent="0.45">
      <c r="C54" s="60"/>
      <c r="D54" s="66" t="str">
        <f t="shared" si="0"/>
        <v/>
      </c>
      <c r="E54" s="67"/>
      <c r="F54" s="68"/>
      <c r="G54" s="67"/>
      <c r="H54" s="69"/>
    </row>
    <row r="55" spans="3:8" ht="18.95" customHeight="1" x14ac:dyDescent="0.45">
      <c r="C55" s="60"/>
      <c r="D55" s="66" t="str">
        <f t="shared" si="0"/>
        <v/>
      </c>
      <c r="E55" s="67"/>
      <c r="F55" s="68"/>
      <c r="G55" s="67"/>
      <c r="H55" s="69"/>
    </row>
    <row r="56" spans="3:8" ht="18.95" customHeight="1" x14ac:dyDescent="0.45">
      <c r="C56" s="60"/>
      <c r="D56" s="66" t="str">
        <f t="shared" si="0"/>
        <v/>
      </c>
      <c r="E56" s="67"/>
      <c r="F56" s="68"/>
      <c r="G56" s="67"/>
      <c r="H56" s="69"/>
    </row>
    <row r="57" spans="3:8" ht="18.95" customHeight="1" x14ac:dyDescent="0.45">
      <c r="C57" s="60"/>
      <c r="D57" s="66" t="str">
        <f t="shared" si="0"/>
        <v/>
      </c>
      <c r="E57" s="67"/>
      <c r="F57" s="68"/>
      <c r="G57" s="67"/>
      <c r="H57" s="69"/>
    </row>
    <row r="58" spans="3:8" ht="18.95" customHeight="1" x14ac:dyDescent="0.45">
      <c r="C58" s="60"/>
      <c r="D58" s="66" t="str">
        <f t="shared" si="0"/>
        <v/>
      </c>
      <c r="E58" s="67"/>
      <c r="F58" s="68"/>
      <c r="G58" s="67"/>
      <c r="H58" s="69"/>
    </row>
    <row r="59" spans="3:8" ht="18.95" customHeight="1" x14ac:dyDescent="0.45">
      <c r="C59" s="60"/>
      <c r="D59" s="66" t="str">
        <f t="shared" si="0"/>
        <v/>
      </c>
      <c r="E59" s="67"/>
      <c r="F59" s="68"/>
      <c r="G59" s="67"/>
      <c r="H59" s="69"/>
    </row>
    <row r="60" spans="3:8" ht="18.95" customHeight="1" x14ac:dyDescent="0.45">
      <c r="C60" s="60"/>
      <c r="D60" s="66" t="str">
        <f t="shared" si="0"/>
        <v/>
      </c>
      <c r="E60" s="67"/>
      <c r="F60" s="68"/>
      <c r="G60" s="67"/>
      <c r="H60" s="69"/>
    </row>
    <row r="61" spans="3:8" ht="18.95" customHeight="1" x14ac:dyDescent="0.45">
      <c r="C61" s="60"/>
      <c r="D61" s="66" t="str">
        <f t="shared" si="0"/>
        <v/>
      </c>
      <c r="E61" s="67"/>
      <c r="F61" s="68"/>
      <c r="G61" s="67"/>
      <c r="H61" s="69"/>
    </row>
    <row r="62" spans="3:8" ht="18.95" customHeight="1" x14ac:dyDescent="0.45">
      <c r="C62" s="60"/>
      <c r="D62" s="66" t="str">
        <f t="shared" si="0"/>
        <v/>
      </c>
      <c r="E62" s="67"/>
      <c r="F62" s="68"/>
      <c r="G62" s="67"/>
      <c r="H62" s="69"/>
    </row>
    <row r="63" spans="3:8" ht="18.95" customHeight="1" x14ac:dyDescent="0.45">
      <c r="C63" s="60"/>
      <c r="D63" s="66" t="str">
        <f t="shared" si="0"/>
        <v/>
      </c>
      <c r="E63" s="67"/>
      <c r="F63" s="68"/>
      <c r="G63" s="67"/>
      <c r="H63" s="69"/>
    </row>
    <row r="64" spans="3:8" ht="18.95" customHeight="1" x14ac:dyDescent="0.45">
      <c r="C64" s="60"/>
      <c r="D64" s="66" t="str">
        <f t="shared" si="0"/>
        <v/>
      </c>
      <c r="E64" s="67"/>
      <c r="F64" s="68"/>
      <c r="G64" s="67"/>
      <c r="H64" s="69"/>
    </row>
    <row r="65" spans="3:8" ht="18.95" customHeight="1" x14ac:dyDescent="0.45">
      <c r="C65" s="60"/>
      <c r="D65" s="66" t="str">
        <f t="shared" si="0"/>
        <v/>
      </c>
      <c r="E65" s="67"/>
      <c r="F65" s="68"/>
      <c r="G65" s="67"/>
      <c r="H65" s="69"/>
    </row>
    <row r="66" spans="3:8" ht="18.95" customHeight="1" x14ac:dyDescent="0.45">
      <c r="C66" s="60"/>
      <c r="D66" s="66" t="str">
        <f t="shared" si="0"/>
        <v/>
      </c>
      <c r="E66" s="67"/>
      <c r="F66" s="68"/>
      <c r="G66" s="67"/>
      <c r="H66" s="69"/>
    </row>
    <row r="67" spans="3:8" ht="18.95" customHeight="1" x14ac:dyDescent="0.45">
      <c r="C67" s="60"/>
      <c r="D67" s="66" t="str">
        <f t="shared" si="0"/>
        <v/>
      </c>
      <c r="E67" s="67"/>
      <c r="F67" s="68"/>
      <c r="G67" s="67"/>
      <c r="H67" s="69"/>
    </row>
    <row r="68" spans="3:8" ht="18.95" customHeight="1" x14ac:dyDescent="0.45">
      <c r="C68" s="60"/>
      <c r="D68" s="66" t="str">
        <f t="shared" si="0"/>
        <v/>
      </c>
      <c r="E68" s="67"/>
      <c r="F68" s="68"/>
      <c r="G68" s="67"/>
      <c r="H68" s="69"/>
    </row>
    <row r="69" spans="3:8" ht="18.95" customHeight="1" x14ac:dyDescent="0.45">
      <c r="C69" s="60"/>
      <c r="D69" s="66" t="str">
        <f t="shared" si="0"/>
        <v/>
      </c>
      <c r="E69" s="67"/>
      <c r="F69" s="68"/>
      <c r="G69" s="67"/>
      <c r="H69" s="69"/>
    </row>
    <row r="70" spans="3:8" ht="18.95" customHeight="1" x14ac:dyDescent="0.45">
      <c r="C70" s="60"/>
      <c r="D70" s="66" t="str">
        <f t="shared" si="0"/>
        <v/>
      </c>
      <c r="E70" s="67"/>
      <c r="F70" s="68"/>
      <c r="G70" s="67"/>
      <c r="H70" s="69"/>
    </row>
    <row r="71" spans="3:8" ht="18.95" customHeight="1" x14ac:dyDescent="0.45">
      <c r="C71" s="60"/>
      <c r="D71" s="66" t="str">
        <f t="shared" si="0"/>
        <v/>
      </c>
      <c r="E71" s="67"/>
      <c r="F71" s="68"/>
      <c r="G71" s="67"/>
      <c r="H71" s="69"/>
    </row>
    <row r="72" spans="3:8" ht="18.95" customHeight="1" x14ac:dyDescent="0.45">
      <c r="C72" s="60"/>
      <c r="D72" s="66" t="str">
        <f t="shared" ref="D72:D102" si="1">IF(C72&lt;&gt;"",_xlfn.CONCAT(C72, "x in ",C72),"")</f>
        <v/>
      </c>
      <c r="E72" s="67"/>
      <c r="F72" s="68"/>
      <c r="G72" s="67"/>
      <c r="H72" s="69"/>
    </row>
    <row r="73" spans="3:8" ht="18.95" customHeight="1" x14ac:dyDescent="0.45">
      <c r="C73" s="60"/>
      <c r="D73" s="66" t="str">
        <f t="shared" si="1"/>
        <v/>
      </c>
      <c r="E73" s="67"/>
      <c r="F73" s="68"/>
      <c r="G73" s="67"/>
      <c r="H73" s="69"/>
    </row>
    <row r="74" spans="3:8" ht="18.95" customHeight="1" x14ac:dyDescent="0.45">
      <c r="C74" s="60"/>
      <c r="D74" s="66" t="str">
        <f t="shared" si="1"/>
        <v/>
      </c>
      <c r="E74" s="67"/>
      <c r="F74" s="68"/>
      <c r="G74" s="67"/>
      <c r="H74" s="69"/>
    </row>
    <row r="75" spans="3:8" ht="18.95" customHeight="1" x14ac:dyDescent="0.45">
      <c r="C75" s="60"/>
      <c r="D75" s="66" t="str">
        <f t="shared" si="1"/>
        <v/>
      </c>
      <c r="E75" s="67"/>
      <c r="F75" s="68"/>
      <c r="G75" s="67"/>
      <c r="H75" s="69"/>
    </row>
    <row r="76" spans="3:8" ht="18.95" customHeight="1" x14ac:dyDescent="0.45">
      <c r="C76" s="60"/>
      <c r="D76" s="66" t="str">
        <f t="shared" si="1"/>
        <v/>
      </c>
      <c r="E76" s="67"/>
      <c r="F76" s="68"/>
      <c r="G76" s="67"/>
      <c r="H76" s="69"/>
    </row>
    <row r="77" spans="3:8" ht="18.95" customHeight="1" x14ac:dyDescent="0.45">
      <c r="C77" s="60"/>
      <c r="D77" s="66" t="str">
        <f t="shared" si="1"/>
        <v/>
      </c>
      <c r="E77" s="67"/>
      <c r="F77" s="68"/>
      <c r="G77" s="67"/>
      <c r="H77" s="69"/>
    </row>
    <row r="78" spans="3:8" ht="18.95" customHeight="1" x14ac:dyDescent="0.45">
      <c r="C78" s="60"/>
      <c r="D78" s="66" t="str">
        <f t="shared" si="1"/>
        <v/>
      </c>
      <c r="E78" s="67"/>
      <c r="F78" s="68"/>
      <c r="G78" s="67"/>
      <c r="H78" s="69"/>
    </row>
    <row r="79" spans="3:8" ht="18.95" customHeight="1" x14ac:dyDescent="0.45">
      <c r="C79" s="60"/>
      <c r="D79" s="66" t="str">
        <f t="shared" si="1"/>
        <v/>
      </c>
      <c r="E79" s="67"/>
      <c r="F79" s="68"/>
      <c r="G79" s="67"/>
      <c r="H79" s="69"/>
    </row>
    <row r="80" spans="3:8" ht="18.95" customHeight="1" x14ac:dyDescent="0.45">
      <c r="C80" s="60"/>
      <c r="D80" s="66" t="str">
        <f t="shared" si="1"/>
        <v/>
      </c>
      <c r="E80" s="67"/>
      <c r="F80" s="68"/>
      <c r="G80" s="67"/>
      <c r="H80" s="69"/>
    </row>
    <row r="81" spans="3:8" ht="18.95" customHeight="1" x14ac:dyDescent="0.45">
      <c r="C81" s="60"/>
      <c r="D81" s="66" t="str">
        <f t="shared" si="1"/>
        <v/>
      </c>
      <c r="E81" s="67"/>
      <c r="F81" s="68"/>
      <c r="G81" s="67"/>
      <c r="H81" s="69"/>
    </row>
    <row r="82" spans="3:8" ht="18.95" customHeight="1" x14ac:dyDescent="0.45">
      <c r="C82" s="60"/>
      <c r="D82" s="66" t="str">
        <f t="shared" si="1"/>
        <v/>
      </c>
      <c r="E82" s="67"/>
      <c r="F82" s="68"/>
      <c r="G82" s="67"/>
      <c r="H82" s="69"/>
    </row>
    <row r="83" spans="3:8" ht="18.95" customHeight="1" x14ac:dyDescent="0.45">
      <c r="C83" s="60"/>
      <c r="D83" s="66" t="str">
        <f t="shared" si="1"/>
        <v/>
      </c>
      <c r="E83" s="67"/>
      <c r="F83" s="68"/>
      <c r="G83" s="67"/>
      <c r="H83" s="69"/>
    </row>
    <row r="84" spans="3:8" ht="18.95" customHeight="1" x14ac:dyDescent="0.45">
      <c r="C84" s="60"/>
      <c r="D84" s="66" t="str">
        <f t="shared" si="1"/>
        <v/>
      </c>
      <c r="E84" s="67"/>
      <c r="F84" s="68"/>
      <c r="G84" s="67"/>
      <c r="H84" s="69"/>
    </row>
    <row r="85" spans="3:8" ht="18.95" customHeight="1" x14ac:dyDescent="0.45">
      <c r="C85" s="60"/>
      <c r="D85" s="66" t="str">
        <f t="shared" si="1"/>
        <v/>
      </c>
      <c r="E85" s="67"/>
      <c r="F85" s="68"/>
      <c r="G85" s="67"/>
      <c r="H85" s="69"/>
    </row>
    <row r="86" spans="3:8" ht="18.95" customHeight="1" x14ac:dyDescent="0.45">
      <c r="C86" s="60"/>
      <c r="D86" s="66" t="str">
        <f t="shared" si="1"/>
        <v/>
      </c>
      <c r="E86" s="67"/>
      <c r="F86" s="68"/>
      <c r="G86" s="67"/>
      <c r="H86" s="69"/>
    </row>
    <row r="87" spans="3:8" ht="18.95" customHeight="1" x14ac:dyDescent="0.45">
      <c r="C87" s="60"/>
      <c r="D87" s="66" t="str">
        <f t="shared" si="1"/>
        <v/>
      </c>
      <c r="E87" s="67"/>
      <c r="F87" s="68"/>
      <c r="G87" s="67"/>
      <c r="H87" s="69"/>
    </row>
    <row r="88" spans="3:8" ht="18.95" customHeight="1" x14ac:dyDescent="0.45">
      <c r="C88" s="60"/>
      <c r="D88" s="66" t="str">
        <f t="shared" si="1"/>
        <v/>
      </c>
      <c r="E88" s="67"/>
      <c r="F88" s="68"/>
      <c r="G88" s="67"/>
      <c r="H88" s="69"/>
    </row>
    <row r="89" spans="3:8" ht="18.95" customHeight="1" x14ac:dyDescent="0.45">
      <c r="C89" s="60"/>
      <c r="D89" s="66" t="str">
        <f t="shared" si="1"/>
        <v/>
      </c>
      <c r="E89" s="67"/>
      <c r="F89" s="68"/>
      <c r="G89" s="67"/>
      <c r="H89" s="69"/>
    </row>
    <row r="90" spans="3:8" ht="18.95" customHeight="1" x14ac:dyDescent="0.45">
      <c r="C90" s="60"/>
      <c r="D90" s="66" t="str">
        <f t="shared" si="1"/>
        <v/>
      </c>
      <c r="E90" s="67"/>
      <c r="F90" s="68"/>
      <c r="G90" s="67"/>
      <c r="H90" s="69"/>
    </row>
    <row r="91" spans="3:8" ht="18.95" customHeight="1" x14ac:dyDescent="0.45">
      <c r="C91" s="60"/>
      <c r="D91" s="66" t="str">
        <f t="shared" si="1"/>
        <v/>
      </c>
      <c r="E91" s="67"/>
      <c r="F91" s="68"/>
      <c r="G91" s="67"/>
      <c r="H91" s="69"/>
    </row>
    <row r="92" spans="3:8" ht="18.95" customHeight="1" x14ac:dyDescent="0.45">
      <c r="C92" s="60"/>
      <c r="D92" s="66" t="str">
        <f t="shared" si="1"/>
        <v/>
      </c>
      <c r="E92" s="67"/>
      <c r="F92" s="68"/>
      <c r="G92" s="67"/>
      <c r="H92" s="69"/>
    </row>
    <row r="93" spans="3:8" ht="18.95" customHeight="1" x14ac:dyDescent="0.45">
      <c r="C93" s="60"/>
      <c r="D93" s="66" t="str">
        <f t="shared" si="1"/>
        <v/>
      </c>
      <c r="E93" s="67"/>
      <c r="F93" s="68"/>
      <c r="G93" s="67"/>
      <c r="H93" s="69"/>
    </row>
    <row r="94" spans="3:8" ht="18.95" customHeight="1" x14ac:dyDescent="0.45">
      <c r="C94" s="60"/>
      <c r="D94" s="66" t="str">
        <f t="shared" si="1"/>
        <v/>
      </c>
      <c r="E94" s="67"/>
      <c r="F94" s="68"/>
      <c r="G94" s="67"/>
      <c r="H94" s="69"/>
    </row>
    <row r="95" spans="3:8" ht="18.95" customHeight="1" x14ac:dyDescent="0.45">
      <c r="C95" s="60"/>
      <c r="D95" s="66" t="str">
        <f t="shared" si="1"/>
        <v/>
      </c>
      <c r="E95" s="67"/>
      <c r="F95" s="68"/>
      <c r="G95" s="67"/>
      <c r="H95" s="69"/>
    </row>
    <row r="96" spans="3:8" ht="18.95" customHeight="1" x14ac:dyDescent="0.45">
      <c r="C96" s="60"/>
      <c r="D96" s="66" t="str">
        <f t="shared" si="1"/>
        <v/>
      </c>
      <c r="E96" s="67"/>
      <c r="F96" s="68"/>
      <c r="G96" s="67"/>
      <c r="H96" s="69"/>
    </row>
    <row r="97" spans="3:8" ht="18.95" customHeight="1" x14ac:dyDescent="0.45">
      <c r="C97" s="60"/>
      <c r="D97" s="66" t="str">
        <f t="shared" si="1"/>
        <v/>
      </c>
      <c r="E97" s="67"/>
      <c r="F97" s="68"/>
      <c r="G97" s="67"/>
      <c r="H97" s="69"/>
    </row>
    <row r="98" spans="3:8" ht="18.95" customHeight="1" x14ac:dyDescent="0.45">
      <c r="C98" s="60"/>
      <c r="D98" s="66" t="str">
        <f t="shared" si="1"/>
        <v/>
      </c>
      <c r="E98" s="67"/>
      <c r="F98" s="68"/>
      <c r="G98" s="67"/>
      <c r="H98" s="69"/>
    </row>
    <row r="99" spans="3:8" ht="18.95" customHeight="1" x14ac:dyDescent="0.45">
      <c r="C99" s="60"/>
      <c r="D99" s="66" t="str">
        <f t="shared" si="1"/>
        <v/>
      </c>
      <c r="E99" s="67"/>
      <c r="F99" s="68"/>
      <c r="G99" s="67"/>
      <c r="H99" s="69"/>
    </row>
    <row r="100" spans="3:8" ht="18.95" customHeight="1" x14ac:dyDescent="0.45">
      <c r="C100" s="60"/>
      <c r="D100" s="66" t="str">
        <f t="shared" si="1"/>
        <v/>
      </c>
      <c r="E100" s="67"/>
      <c r="F100" s="68"/>
      <c r="G100" s="67"/>
      <c r="H100" s="69"/>
    </row>
    <row r="101" spans="3:8" ht="18.95" customHeight="1" x14ac:dyDescent="0.45">
      <c r="C101" s="60"/>
      <c r="D101" s="66" t="str">
        <f t="shared" si="1"/>
        <v/>
      </c>
      <c r="E101" s="67"/>
      <c r="F101" s="68"/>
      <c r="G101" s="67"/>
      <c r="H101" s="69"/>
    </row>
    <row r="102" spans="3:8" ht="18.95" customHeight="1" x14ac:dyDescent="0.45">
      <c r="C102" s="60"/>
      <c r="D102" s="66" t="str">
        <f t="shared" si="1"/>
        <v/>
      </c>
      <c r="E102" s="67"/>
      <c r="F102" s="68"/>
      <c r="G102" s="67"/>
      <c r="H102" s="69"/>
    </row>
    <row r="103" spans="3:8" x14ac:dyDescent="0.45">
      <c r="C103" s="39"/>
      <c r="D103" s="61"/>
    </row>
    <row r="104" spans="3:8" x14ac:dyDescent="0.45">
      <c r="C104" s="39"/>
      <c r="D104" s="61"/>
    </row>
    <row r="105" spans="3:8" x14ac:dyDescent="0.45">
      <c r="C105" s="39"/>
      <c r="D105" s="61"/>
    </row>
    <row r="106" spans="3:8" x14ac:dyDescent="0.45">
      <c r="C106" s="39"/>
      <c r="D106" s="61"/>
    </row>
    <row r="107" spans="3:8" x14ac:dyDescent="0.45">
      <c r="C107" s="39"/>
      <c r="D107" s="61"/>
    </row>
    <row r="108" spans="3:8" x14ac:dyDescent="0.45">
      <c r="C108" s="39"/>
      <c r="D108" s="61"/>
    </row>
    <row r="109" spans="3:8" x14ac:dyDescent="0.45">
      <c r="C109" s="39"/>
      <c r="D109" s="61"/>
    </row>
    <row r="110" spans="3:8" x14ac:dyDescent="0.45">
      <c r="C110" s="39"/>
      <c r="D110" s="61"/>
    </row>
    <row r="111" spans="3:8" x14ac:dyDescent="0.45">
      <c r="C111" s="39"/>
      <c r="D111" s="61"/>
    </row>
    <row r="112" spans="3:8" x14ac:dyDescent="0.45">
      <c r="C112" s="39"/>
      <c r="D112" s="61"/>
    </row>
    <row r="113" spans="3:4" x14ac:dyDescent="0.45">
      <c r="C113" s="39"/>
      <c r="D113" s="61"/>
    </row>
    <row r="114" spans="3:4" x14ac:dyDescent="0.45">
      <c r="C114" s="39"/>
      <c r="D114" s="61"/>
    </row>
    <row r="115" spans="3:4" x14ac:dyDescent="0.45">
      <c r="C115" s="39"/>
      <c r="D115" s="61"/>
    </row>
    <row r="116" spans="3:4" x14ac:dyDescent="0.45">
      <c r="C116" s="39"/>
      <c r="D116" s="61"/>
    </row>
    <row r="117" spans="3:4" x14ac:dyDescent="0.45">
      <c r="C117" s="39"/>
      <c r="D117" s="61"/>
    </row>
    <row r="118" spans="3:4" x14ac:dyDescent="0.45">
      <c r="C118" s="39"/>
      <c r="D118" s="61"/>
    </row>
    <row r="119" spans="3:4" x14ac:dyDescent="0.45">
      <c r="C119" s="39"/>
      <c r="D119" s="61"/>
    </row>
    <row r="120" spans="3:4" x14ac:dyDescent="0.45">
      <c r="C120" s="39"/>
      <c r="D120" s="61"/>
    </row>
    <row r="121" spans="3:4" x14ac:dyDescent="0.45">
      <c r="C121" s="39"/>
      <c r="D121" s="61"/>
    </row>
    <row r="122" spans="3:4" x14ac:dyDescent="0.45">
      <c r="C122" s="39"/>
      <c r="D122" s="61"/>
    </row>
    <row r="123" spans="3:4" x14ac:dyDescent="0.45">
      <c r="C123" s="39"/>
      <c r="D123" s="61"/>
    </row>
    <row r="124" spans="3:4" x14ac:dyDescent="0.45">
      <c r="C124" s="39"/>
      <c r="D124" s="61"/>
    </row>
    <row r="125" spans="3:4" x14ac:dyDescent="0.45">
      <c r="C125" s="39"/>
      <c r="D125" s="61"/>
    </row>
    <row r="126" spans="3:4" x14ac:dyDescent="0.45">
      <c r="C126" s="39"/>
      <c r="D126" s="61"/>
    </row>
    <row r="127" spans="3:4" x14ac:dyDescent="0.45">
      <c r="C127" s="39"/>
      <c r="D127" s="61"/>
    </row>
    <row r="128" spans="3:4" x14ac:dyDescent="0.45">
      <c r="C128" s="39"/>
      <c r="D128" s="61"/>
    </row>
    <row r="129" spans="3:4" x14ac:dyDescent="0.45">
      <c r="C129" s="39"/>
      <c r="D129" s="61"/>
    </row>
    <row r="130" spans="3:4" x14ac:dyDescent="0.45">
      <c r="C130" s="39"/>
      <c r="D130" s="61"/>
    </row>
    <row r="131" spans="3:4" x14ac:dyDescent="0.45">
      <c r="C131" s="39"/>
      <c r="D131" s="61"/>
    </row>
    <row r="132" spans="3:4" x14ac:dyDescent="0.45">
      <c r="C132" s="39"/>
      <c r="D132" s="61"/>
    </row>
    <row r="133" spans="3:4" x14ac:dyDescent="0.45">
      <c r="C133" s="39"/>
      <c r="D133" s="61"/>
    </row>
    <row r="134" spans="3:4" x14ac:dyDescent="0.45">
      <c r="C134" s="39"/>
      <c r="D134" s="61"/>
    </row>
    <row r="135" spans="3:4" x14ac:dyDescent="0.45">
      <c r="C135" s="39"/>
      <c r="D135" s="61"/>
    </row>
    <row r="136" spans="3:4" x14ac:dyDescent="0.45">
      <c r="C136" s="39"/>
      <c r="D136" s="61"/>
    </row>
    <row r="137" spans="3:4" x14ac:dyDescent="0.45">
      <c r="C137" s="39"/>
      <c r="D137" s="61"/>
    </row>
    <row r="138" spans="3:4" x14ac:dyDescent="0.45">
      <c r="C138" s="39"/>
      <c r="D138" s="61"/>
    </row>
    <row r="139" spans="3:4" x14ac:dyDescent="0.45">
      <c r="C139" s="39"/>
      <c r="D139" s="61"/>
    </row>
    <row r="140" spans="3:4" x14ac:dyDescent="0.45">
      <c r="C140" s="39"/>
      <c r="D140" s="61"/>
    </row>
    <row r="141" spans="3:4" x14ac:dyDescent="0.45">
      <c r="C141" s="39"/>
      <c r="D141" s="61"/>
    </row>
    <row r="142" spans="3:4" x14ac:dyDescent="0.45">
      <c r="C142" s="39"/>
      <c r="D142" s="61"/>
    </row>
    <row r="143" spans="3:4" x14ac:dyDescent="0.45">
      <c r="C143" s="39"/>
      <c r="D143" s="61"/>
    </row>
    <row r="144" spans="3:4" x14ac:dyDescent="0.45">
      <c r="C144" s="39"/>
      <c r="D144" s="61"/>
    </row>
    <row r="145" spans="3:4" x14ac:dyDescent="0.45">
      <c r="C145" s="39"/>
      <c r="D145" s="61"/>
    </row>
    <row r="146" spans="3:4" x14ac:dyDescent="0.45">
      <c r="C146" s="39"/>
      <c r="D146" s="61"/>
    </row>
    <row r="147" spans="3:4" x14ac:dyDescent="0.45">
      <c r="C147" s="39"/>
      <c r="D147" s="61"/>
    </row>
    <row r="148" spans="3:4" x14ac:dyDescent="0.45">
      <c r="C148" s="39"/>
      <c r="D148" s="61"/>
    </row>
    <row r="149" spans="3:4" x14ac:dyDescent="0.45">
      <c r="C149" s="39"/>
      <c r="D149" s="61"/>
    </row>
    <row r="150" spans="3:4" x14ac:dyDescent="0.45">
      <c r="C150" s="39"/>
      <c r="D150" s="61"/>
    </row>
    <row r="151" spans="3:4" x14ac:dyDescent="0.45">
      <c r="C151" s="39"/>
      <c r="D151" s="61"/>
    </row>
    <row r="152" spans="3:4" x14ac:dyDescent="0.45">
      <c r="C152" s="39"/>
      <c r="D152" s="61"/>
    </row>
    <row r="153" spans="3:4" x14ac:dyDescent="0.45">
      <c r="C153" s="39"/>
      <c r="D153" s="61"/>
    </row>
    <row r="154" spans="3:4" x14ac:dyDescent="0.45">
      <c r="C154" s="39"/>
      <c r="D154" s="61"/>
    </row>
    <row r="155" spans="3:4" x14ac:dyDescent="0.45">
      <c r="C155" s="39"/>
      <c r="D155" s="61"/>
    </row>
    <row r="156" spans="3:4" x14ac:dyDescent="0.45">
      <c r="C156" s="39"/>
      <c r="D156" s="61"/>
    </row>
    <row r="157" spans="3:4" x14ac:dyDescent="0.45">
      <c r="C157" s="39"/>
      <c r="D157" s="61"/>
    </row>
    <row r="158" spans="3:4" x14ac:dyDescent="0.45">
      <c r="C158" s="39"/>
      <c r="D158" s="61"/>
    </row>
    <row r="159" spans="3:4" x14ac:dyDescent="0.45">
      <c r="C159" s="39"/>
      <c r="D159" s="61"/>
    </row>
    <row r="160" spans="3:4" x14ac:dyDescent="0.45">
      <c r="C160" s="39"/>
      <c r="D160" s="61"/>
    </row>
    <row r="161" spans="3:4" x14ac:dyDescent="0.45">
      <c r="C161" s="39"/>
      <c r="D161" s="61"/>
    </row>
    <row r="162" spans="3:4" x14ac:dyDescent="0.45">
      <c r="C162" s="39"/>
      <c r="D162" s="61"/>
    </row>
    <row r="163" spans="3:4" x14ac:dyDescent="0.45">
      <c r="C163" s="39"/>
      <c r="D163" s="61"/>
    </row>
    <row r="164" spans="3:4" x14ac:dyDescent="0.45">
      <c r="C164" s="39"/>
      <c r="D164" s="61"/>
    </row>
    <row r="165" spans="3:4" x14ac:dyDescent="0.45">
      <c r="C165" s="39"/>
      <c r="D165" s="61"/>
    </row>
    <row r="166" spans="3:4" x14ac:dyDescent="0.45">
      <c r="C166" s="39"/>
      <c r="D166" s="61"/>
    </row>
    <row r="167" spans="3:4" x14ac:dyDescent="0.45">
      <c r="C167" s="39"/>
      <c r="D167" s="61"/>
    </row>
    <row r="168" spans="3:4" x14ac:dyDescent="0.45">
      <c r="C168" s="39"/>
      <c r="D168" s="61"/>
    </row>
    <row r="169" spans="3:4" x14ac:dyDescent="0.45">
      <c r="C169" s="39"/>
      <c r="D169" s="61"/>
    </row>
    <row r="170" spans="3:4" x14ac:dyDescent="0.45">
      <c r="C170" s="39"/>
      <c r="D170" s="61"/>
    </row>
    <row r="171" spans="3:4" x14ac:dyDescent="0.45">
      <c r="C171" s="39"/>
      <c r="D171" s="61"/>
    </row>
    <row r="172" spans="3:4" x14ac:dyDescent="0.45">
      <c r="C172" s="39"/>
      <c r="D172" s="61"/>
    </row>
    <row r="173" spans="3:4" x14ac:dyDescent="0.45">
      <c r="C173" s="39"/>
      <c r="D173" s="61"/>
    </row>
    <row r="174" spans="3:4" x14ac:dyDescent="0.45">
      <c r="C174" s="39"/>
      <c r="D174" s="61"/>
    </row>
    <row r="175" spans="3:4" x14ac:dyDescent="0.45">
      <c r="C175" s="39"/>
      <c r="D175" s="61"/>
    </row>
    <row r="176" spans="3:4" x14ac:dyDescent="0.45">
      <c r="C176" s="39"/>
      <c r="D176" s="61"/>
    </row>
    <row r="177" spans="3:4" x14ac:dyDescent="0.45">
      <c r="C177" s="39"/>
      <c r="D177" s="61"/>
    </row>
    <row r="178" spans="3:4" x14ac:dyDescent="0.45">
      <c r="C178" s="39"/>
      <c r="D178" s="61"/>
    </row>
    <row r="179" spans="3:4" x14ac:dyDescent="0.45">
      <c r="C179" s="39"/>
      <c r="D179" s="61"/>
    </row>
    <row r="180" spans="3:4" x14ac:dyDescent="0.45">
      <c r="C180" s="39"/>
      <c r="D180" s="61"/>
    </row>
    <row r="181" spans="3:4" x14ac:dyDescent="0.45">
      <c r="C181" s="39"/>
      <c r="D181" s="61"/>
    </row>
    <row r="182" spans="3:4" x14ac:dyDescent="0.45">
      <c r="C182" s="39"/>
      <c r="D182" s="61"/>
    </row>
    <row r="183" spans="3:4" x14ac:dyDescent="0.45">
      <c r="C183" s="39"/>
      <c r="D183" s="61"/>
    </row>
    <row r="184" spans="3:4" x14ac:dyDescent="0.45">
      <c r="C184" s="39"/>
      <c r="D184" s="61"/>
    </row>
    <row r="185" spans="3:4" x14ac:dyDescent="0.45">
      <c r="C185" s="39"/>
      <c r="D185" s="61"/>
    </row>
    <row r="186" spans="3:4" x14ac:dyDescent="0.45">
      <c r="C186" s="39"/>
      <c r="D186" s="61"/>
    </row>
    <row r="187" spans="3:4" x14ac:dyDescent="0.45">
      <c r="C187" s="39"/>
      <c r="D187" s="61"/>
    </row>
    <row r="188" spans="3:4" x14ac:dyDescent="0.45">
      <c r="C188" s="39"/>
      <c r="D188" s="61"/>
    </row>
    <row r="189" spans="3:4" x14ac:dyDescent="0.45">
      <c r="C189" s="39"/>
      <c r="D189" s="61"/>
    </row>
    <row r="190" spans="3:4" x14ac:dyDescent="0.45">
      <c r="C190" s="39"/>
      <c r="D190" s="61"/>
    </row>
    <row r="191" spans="3:4" x14ac:dyDescent="0.45">
      <c r="C191" s="39"/>
      <c r="D191" s="61"/>
    </row>
    <row r="192" spans="3:4" x14ac:dyDescent="0.45">
      <c r="C192" s="39"/>
      <c r="D192" s="61"/>
    </row>
    <row r="193" spans="3:4" x14ac:dyDescent="0.45">
      <c r="C193" s="39"/>
      <c r="D193" s="61"/>
    </row>
    <row r="194" spans="3:4" x14ac:dyDescent="0.45">
      <c r="C194" s="39"/>
      <c r="D194" s="61"/>
    </row>
    <row r="195" spans="3:4" x14ac:dyDescent="0.45">
      <c r="C195" s="39"/>
      <c r="D195" s="61"/>
    </row>
    <row r="196" spans="3:4" x14ac:dyDescent="0.45">
      <c r="C196" s="39"/>
      <c r="D196" s="61"/>
    </row>
    <row r="197" spans="3:4" x14ac:dyDescent="0.45">
      <c r="C197" s="39"/>
      <c r="D197" s="61"/>
    </row>
    <row r="198" spans="3:4" x14ac:dyDescent="0.45">
      <c r="C198" s="39"/>
      <c r="D198" s="61"/>
    </row>
    <row r="199" spans="3:4" x14ac:dyDescent="0.45">
      <c r="C199" s="39"/>
      <c r="D199" s="61"/>
    </row>
    <row r="200" spans="3:4" x14ac:dyDescent="0.45">
      <c r="C200" s="39"/>
      <c r="D200" s="61"/>
    </row>
    <row r="201" spans="3:4" x14ac:dyDescent="0.45">
      <c r="C201" s="39"/>
      <c r="D201" s="61"/>
    </row>
    <row r="202" spans="3:4" x14ac:dyDescent="0.45">
      <c r="C202" s="39"/>
      <c r="D202" s="61"/>
    </row>
    <row r="203" spans="3:4" x14ac:dyDescent="0.45">
      <c r="C203" s="39"/>
      <c r="D203" s="61"/>
    </row>
    <row r="204" spans="3:4" x14ac:dyDescent="0.45">
      <c r="C204" s="39"/>
      <c r="D204" s="61"/>
    </row>
    <row r="205" spans="3:4" x14ac:dyDescent="0.45">
      <c r="C205" s="39"/>
      <c r="D205" s="61"/>
    </row>
    <row r="206" spans="3:4" x14ac:dyDescent="0.45">
      <c r="C206" s="39"/>
      <c r="D206" s="61"/>
    </row>
    <row r="207" spans="3:4" x14ac:dyDescent="0.45">
      <c r="C207" s="39"/>
      <c r="D207" s="61"/>
    </row>
    <row r="208" spans="3:4" x14ac:dyDescent="0.45">
      <c r="C208" s="39"/>
      <c r="D208" s="61"/>
    </row>
    <row r="209" spans="3:4" x14ac:dyDescent="0.45">
      <c r="C209" s="39"/>
      <c r="D209" s="61"/>
    </row>
    <row r="210" spans="3:4" x14ac:dyDescent="0.45">
      <c r="C210" s="39"/>
      <c r="D210" s="61"/>
    </row>
    <row r="211" spans="3:4" x14ac:dyDescent="0.45">
      <c r="C211" s="39"/>
      <c r="D211" s="61"/>
    </row>
    <row r="212" spans="3:4" x14ac:dyDescent="0.45">
      <c r="C212" s="39"/>
      <c r="D212" s="61"/>
    </row>
    <row r="213" spans="3:4" x14ac:dyDescent="0.45">
      <c r="C213" s="39"/>
      <c r="D213" s="61"/>
    </row>
    <row r="214" spans="3:4" x14ac:dyDescent="0.45">
      <c r="C214" s="39"/>
      <c r="D214" s="61"/>
    </row>
    <row r="215" spans="3:4" x14ac:dyDescent="0.45">
      <c r="C215" s="39"/>
      <c r="D215" s="61"/>
    </row>
    <row r="216" spans="3:4" x14ac:dyDescent="0.45">
      <c r="C216" s="39"/>
      <c r="D216" s="61"/>
    </row>
    <row r="217" spans="3:4" x14ac:dyDescent="0.45">
      <c r="C217" s="39"/>
      <c r="D217" s="61"/>
    </row>
    <row r="218" spans="3:4" x14ac:dyDescent="0.45">
      <c r="C218" s="39"/>
      <c r="D218" s="61"/>
    </row>
    <row r="219" spans="3:4" x14ac:dyDescent="0.45">
      <c r="C219" s="39"/>
      <c r="D219" s="61"/>
    </row>
    <row r="220" spans="3:4" x14ac:dyDescent="0.45">
      <c r="C220" s="39"/>
      <c r="D220" s="61"/>
    </row>
    <row r="221" spans="3:4" x14ac:dyDescent="0.45">
      <c r="C221" s="39"/>
      <c r="D221" s="61"/>
    </row>
    <row r="222" spans="3:4" x14ac:dyDescent="0.45">
      <c r="C222" s="39"/>
      <c r="D222" s="61"/>
    </row>
    <row r="223" spans="3:4" x14ac:dyDescent="0.45">
      <c r="C223" s="39"/>
      <c r="D223" s="61"/>
    </row>
    <row r="224" spans="3:4" x14ac:dyDescent="0.45">
      <c r="C224" s="39"/>
      <c r="D224" s="61"/>
    </row>
    <row r="225" spans="3:4" x14ac:dyDescent="0.45">
      <c r="C225" s="39"/>
      <c r="D225" s="61"/>
    </row>
    <row r="226" spans="3:4" x14ac:dyDescent="0.45">
      <c r="C226" s="39"/>
      <c r="D226" s="61"/>
    </row>
    <row r="227" spans="3:4" x14ac:dyDescent="0.45">
      <c r="C227" s="39"/>
      <c r="D227" s="61"/>
    </row>
    <row r="228" spans="3:4" x14ac:dyDescent="0.45">
      <c r="C228" s="39"/>
      <c r="D228" s="61"/>
    </row>
    <row r="229" spans="3:4" x14ac:dyDescent="0.45">
      <c r="C229" s="39"/>
      <c r="D229" s="61"/>
    </row>
    <row r="230" spans="3:4" x14ac:dyDescent="0.45">
      <c r="C230" s="39"/>
      <c r="D230" s="61"/>
    </row>
    <row r="231" spans="3:4" x14ac:dyDescent="0.45">
      <c r="C231" s="39"/>
      <c r="D231" s="61"/>
    </row>
    <row r="232" spans="3:4" x14ac:dyDescent="0.45">
      <c r="C232" s="39"/>
      <c r="D232" s="61"/>
    </row>
    <row r="233" spans="3:4" x14ac:dyDescent="0.45">
      <c r="C233" s="39"/>
      <c r="D233" s="61"/>
    </row>
    <row r="234" spans="3:4" x14ac:dyDescent="0.45">
      <c r="C234" s="39"/>
      <c r="D234" s="61"/>
    </row>
    <row r="235" spans="3:4" x14ac:dyDescent="0.45">
      <c r="C235" s="39"/>
      <c r="D235" s="61"/>
    </row>
    <row r="236" spans="3:4" x14ac:dyDescent="0.45">
      <c r="C236" s="39"/>
      <c r="D236" s="61"/>
    </row>
    <row r="237" spans="3:4" x14ac:dyDescent="0.45">
      <c r="C237" s="39"/>
      <c r="D237" s="61"/>
    </row>
    <row r="238" spans="3:4" x14ac:dyDescent="0.45">
      <c r="C238" s="39"/>
      <c r="D238" s="61"/>
    </row>
    <row r="239" spans="3:4" x14ac:dyDescent="0.45">
      <c r="C239" s="39"/>
      <c r="D239" s="61"/>
    </row>
    <row r="240" spans="3:4" x14ac:dyDescent="0.45">
      <c r="C240" s="39"/>
      <c r="D240" s="61"/>
    </row>
    <row r="241" spans="3:4" x14ac:dyDescent="0.45">
      <c r="C241" s="39"/>
      <c r="D241" s="61"/>
    </row>
    <row r="242" spans="3:4" x14ac:dyDescent="0.45">
      <c r="C242" s="39"/>
      <c r="D242" s="61"/>
    </row>
    <row r="243" spans="3:4" x14ac:dyDescent="0.45">
      <c r="C243" s="39"/>
      <c r="D243" s="61"/>
    </row>
    <row r="244" spans="3:4" x14ac:dyDescent="0.45">
      <c r="C244" s="39"/>
      <c r="D244" s="61"/>
    </row>
    <row r="245" spans="3:4" x14ac:dyDescent="0.45">
      <c r="C245" s="39"/>
      <c r="D245" s="61"/>
    </row>
    <row r="246" spans="3:4" x14ac:dyDescent="0.45">
      <c r="C246" s="39"/>
      <c r="D246" s="61"/>
    </row>
    <row r="247" spans="3:4" x14ac:dyDescent="0.45">
      <c r="C247" s="39"/>
      <c r="D247" s="61"/>
    </row>
    <row r="248" spans="3:4" x14ac:dyDescent="0.45">
      <c r="C248" s="39"/>
      <c r="D248" s="61"/>
    </row>
    <row r="249" spans="3:4" x14ac:dyDescent="0.45">
      <c r="C249" s="39"/>
      <c r="D249" s="61"/>
    </row>
    <row r="250" spans="3:4" x14ac:dyDescent="0.45">
      <c r="C250" s="39"/>
      <c r="D250" s="61"/>
    </row>
    <row r="251" spans="3:4" x14ac:dyDescent="0.45">
      <c r="C251" s="39"/>
      <c r="D251" s="61"/>
    </row>
    <row r="252" spans="3:4" x14ac:dyDescent="0.45">
      <c r="C252" s="39"/>
      <c r="D252" s="61"/>
    </row>
    <row r="253" spans="3:4" x14ac:dyDescent="0.45">
      <c r="C253" s="39"/>
      <c r="D253" s="61"/>
    </row>
    <row r="254" spans="3:4" x14ac:dyDescent="0.45">
      <c r="C254" s="39"/>
      <c r="D254" s="61"/>
    </row>
    <row r="255" spans="3:4" x14ac:dyDescent="0.45">
      <c r="C255" s="39"/>
      <c r="D255" s="61"/>
    </row>
    <row r="256" spans="3:4" x14ac:dyDescent="0.45">
      <c r="C256" s="39"/>
      <c r="D256" s="61"/>
    </row>
    <row r="257" spans="3:4" x14ac:dyDescent="0.45">
      <c r="C257" s="39"/>
      <c r="D257" s="61"/>
    </row>
    <row r="258" spans="3:4" x14ac:dyDescent="0.45">
      <c r="C258" s="39"/>
      <c r="D258" s="61"/>
    </row>
    <row r="259" spans="3:4" x14ac:dyDescent="0.45">
      <c r="C259" s="39"/>
      <c r="D259" s="61"/>
    </row>
    <row r="260" spans="3:4" x14ac:dyDescent="0.45">
      <c r="C260" s="39"/>
      <c r="D260" s="61"/>
    </row>
    <row r="261" spans="3:4" x14ac:dyDescent="0.45">
      <c r="C261" s="39"/>
      <c r="D261" s="61"/>
    </row>
    <row r="262" spans="3:4" x14ac:dyDescent="0.45">
      <c r="C262" s="39"/>
      <c r="D262" s="61"/>
    </row>
    <row r="263" spans="3:4" x14ac:dyDescent="0.45">
      <c r="C263" s="39"/>
      <c r="D263" s="61"/>
    </row>
    <row r="264" spans="3:4" x14ac:dyDescent="0.45">
      <c r="C264" s="39"/>
      <c r="D264" s="61"/>
    </row>
    <row r="265" spans="3:4" x14ac:dyDescent="0.45">
      <c r="C265" s="39"/>
      <c r="D265" s="61"/>
    </row>
    <row r="266" spans="3:4" x14ac:dyDescent="0.45">
      <c r="C266" s="39"/>
      <c r="D266" s="61"/>
    </row>
    <row r="267" spans="3:4" x14ac:dyDescent="0.45">
      <c r="C267" s="39"/>
      <c r="D267" s="61"/>
    </row>
    <row r="268" spans="3:4" x14ac:dyDescent="0.45">
      <c r="C268" s="39"/>
      <c r="D268" s="61"/>
    </row>
    <row r="269" spans="3:4" x14ac:dyDescent="0.45">
      <c r="C269" s="39"/>
      <c r="D269" s="61"/>
    </row>
    <row r="270" spans="3:4" x14ac:dyDescent="0.45">
      <c r="C270" s="39"/>
      <c r="D270" s="61"/>
    </row>
    <row r="271" spans="3:4" x14ac:dyDescent="0.45">
      <c r="C271" s="39"/>
      <c r="D271" s="61"/>
    </row>
    <row r="272" spans="3:4" x14ac:dyDescent="0.45">
      <c r="C272" s="39"/>
      <c r="D272" s="61"/>
    </row>
    <row r="273" spans="3:4" x14ac:dyDescent="0.45">
      <c r="C273" s="39"/>
      <c r="D273" s="61"/>
    </row>
    <row r="274" spans="3:4" x14ac:dyDescent="0.45">
      <c r="C274" s="39"/>
      <c r="D274" s="61"/>
    </row>
    <row r="275" spans="3:4" x14ac:dyDescent="0.45">
      <c r="C275" s="39"/>
      <c r="D275" s="61"/>
    </row>
    <row r="276" spans="3:4" x14ac:dyDescent="0.45">
      <c r="C276" s="39"/>
      <c r="D276" s="61"/>
    </row>
    <row r="277" spans="3:4" x14ac:dyDescent="0.45">
      <c r="C277" s="39"/>
      <c r="D277" s="61"/>
    </row>
    <row r="278" spans="3:4" x14ac:dyDescent="0.45">
      <c r="C278" s="39"/>
      <c r="D278" s="61"/>
    </row>
    <row r="279" spans="3:4" x14ac:dyDescent="0.45">
      <c r="C279" s="39"/>
      <c r="D279" s="61"/>
    </row>
    <row r="280" spans="3:4" x14ac:dyDescent="0.45">
      <c r="C280" s="39"/>
      <c r="D280" s="61"/>
    </row>
    <row r="281" spans="3:4" x14ac:dyDescent="0.45">
      <c r="C281" s="39"/>
      <c r="D281" s="61"/>
    </row>
    <row r="282" spans="3:4" x14ac:dyDescent="0.45">
      <c r="C282" s="39"/>
      <c r="D282" s="61"/>
    </row>
    <row r="283" spans="3:4" x14ac:dyDescent="0.45">
      <c r="C283" s="39"/>
      <c r="D283" s="61"/>
    </row>
    <row r="284" spans="3:4" x14ac:dyDescent="0.45">
      <c r="C284" s="39"/>
      <c r="D284" s="61"/>
    </row>
    <row r="285" spans="3:4" x14ac:dyDescent="0.45">
      <c r="C285" s="39"/>
      <c r="D285" s="61"/>
    </row>
    <row r="286" spans="3:4" x14ac:dyDescent="0.45">
      <c r="C286" s="39"/>
      <c r="D286" s="61"/>
    </row>
    <row r="287" spans="3:4" x14ac:dyDescent="0.45">
      <c r="C287" s="39"/>
      <c r="D287" s="61"/>
    </row>
    <row r="288" spans="3:4" x14ac:dyDescent="0.45">
      <c r="C288" s="39"/>
      <c r="D288" s="61"/>
    </row>
    <row r="289" spans="3:4" x14ac:dyDescent="0.45">
      <c r="C289" s="39"/>
      <c r="D289" s="61"/>
    </row>
    <row r="290" spans="3:4" x14ac:dyDescent="0.45">
      <c r="C290" s="39"/>
      <c r="D290" s="61"/>
    </row>
    <row r="291" spans="3:4" x14ac:dyDescent="0.45">
      <c r="C291" s="39"/>
      <c r="D291" s="61"/>
    </row>
    <row r="292" spans="3:4" x14ac:dyDescent="0.45">
      <c r="C292" s="39"/>
      <c r="D292" s="61"/>
    </row>
    <row r="293" spans="3:4" x14ac:dyDescent="0.45">
      <c r="C293" s="39"/>
      <c r="D293" s="61"/>
    </row>
    <row r="294" spans="3:4" x14ac:dyDescent="0.45">
      <c r="C294" s="39"/>
      <c r="D294" s="61"/>
    </row>
  </sheetData>
  <dataValidations count="2">
    <dataValidation type="whole" allowBlank="1" showInputMessage="1" showErrorMessage="1" sqref="D2" xr:uid="{EEC1A9CC-15ED-4C08-A02E-C9C3364D039E}">
      <formula1>5</formula1>
      <formula2>D3</formula2>
    </dataValidation>
    <dataValidation type="whole" operator="greaterThan" allowBlank="1" showInputMessage="1" showErrorMessage="1" sqref="D3" xr:uid="{36F2E630-ABF6-4A94-8A61-3E364F3A01BD}">
      <formula1>D2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6C78-1E58-4A45-9ED1-948062C03C2F}">
  <sheetPr>
    <tabColor theme="4" tint="-0.249977111117893"/>
  </sheetPr>
  <dimension ref="A1:V10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2.75" x14ac:dyDescent="0.25"/>
  <cols>
    <col min="1" max="1" width="25.28515625" style="113" customWidth="1"/>
    <col min="2" max="2" width="21.85546875" style="113" customWidth="1"/>
    <col min="3" max="3" width="18.85546875" style="113" customWidth="1"/>
    <col min="4" max="4" width="5" style="113" customWidth="1"/>
    <col min="5" max="5" width="9.140625" style="113" customWidth="1"/>
    <col min="6" max="6" width="9.42578125" style="113" bestFit="1" customWidth="1"/>
    <col min="7" max="7" width="9.42578125" style="113" customWidth="1"/>
    <col min="8" max="8" width="3.7109375" style="113" customWidth="1"/>
    <col min="9" max="12" width="9.140625" style="113"/>
    <col min="13" max="13" width="3.28515625" style="113" customWidth="1"/>
    <col min="14" max="17" width="9.140625" style="113"/>
    <col min="18" max="18" width="3.140625" style="113" customWidth="1"/>
    <col min="19" max="16384" width="9.140625" style="113"/>
  </cols>
  <sheetData>
    <row r="1" spans="1:22" ht="21.75" customHeight="1" x14ac:dyDescent="0.2">
      <c r="A1" s="160" t="s">
        <v>176</v>
      </c>
      <c r="B1" s="160"/>
      <c r="C1" s="160"/>
      <c r="D1" s="160"/>
      <c r="F1" s="143" t="s">
        <v>90</v>
      </c>
      <c r="G1" s="141"/>
      <c r="H1" s="142" t="s">
        <v>177</v>
      </c>
      <c r="I1" s="141"/>
      <c r="J1" s="139"/>
      <c r="K1" s="139"/>
      <c r="L1" s="140"/>
    </row>
    <row r="2" spans="1:22" ht="26.25" customHeight="1" x14ac:dyDescent="0.25">
      <c r="A2" s="161" t="s">
        <v>175</v>
      </c>
      <c r="B2" s="161"/>
      <c r="C2" s="161"/>
      <c r="D2" s="161"/>
      <c r="E2" s="159" t="s">
        <v>178</v>
      </c>
      <c r="F2" s="159"/>
      <c r="G2" s="159"/>
      <c r="I2" s="159" t="s">
        <v>187</v>
      </c>
      <c r="J2" s="159"/>
      <c r="K2" s="159"/>
      <c r="L2" s="159"/>
      <c r="N2" s="159" t="s">
        <v>189</v>
      </c>
      <c r="O2" s="159"/>
      <c r="P2" s="159"/>
      <c r="Q2" s="159"/>
      <c r="S2" s="159" t="s">
        <v>212</v>
      </c>
      <c r="T2" s="159"/>
      <c r="U2" s="159"/>
      <c r="V2" s="159"/>
    </row>
    <row r="3" spans="1:22" ht="16.5" customHeight="1" x14ac:dyDescent="0.25">
      <c r="A3" s="136"/>
      <c r="B3" s="136"/>
      <c r="C3" s="136"/>
      <c r="D3" s="136"/>
      <c r="E3" s="135"/>
      <c r="F3" s="135"/>
      <c r="G3" s="135"/>
      <c r="I3" s="137" t="str">
        <f>LEFT(I$4,FIND("-",I$4)-1)</f>
        <v>3</v>
      </c>
      <c r="J3" s="137" t="str">
        <f>LEFT(J$4,FIND("-",J$4)-1)</f>
        <v>5</v>
      </c>
      <c r="K3" s="137" t="str">
        <f>LEFT(K$4,FIND("-",K$4)-1)</f>
        <v>10</v>
      </c>
      <c r="L3" s="137" t="str">
        <f>LEFT(L$4,FIND("-",L$4)-1)</f>
        <v>15</v>
      </c>
      <c r="N3" s="137" t="str">
        <f>I3</f>
        <v>3</v>
      </c>
      <c r="O3" s="137" t="str">
        <f>LEFT(O$4,FIND("-",O$4)-1)</f>
        <v>5</v>
      </c>
      <c r="P3" s="137" t="str">
        <f>LEFT(P$4,FIND("-",P$4)-1)</f>
        <v>10</v>
      </c>
      <c r="Q3" s="137" t="str">
        <f>LEFT(Q$4,FIND("-",Q$4)-1)</f>
        <v>15</v>
      </c>
      <c r="S3" s="137" t="str">
        <f>N3</f>
        <v>3</v>
      </c>
      <c r="T3" s="137" t="str">
        <f>LEFT(T$4,FIND("-",T$4)-1)</f>
        <v>5</v>
      </c>
      <c r="U3" s="137" t="str">
        <f>LEFT(U$4,FIND("-",U$4)-1)</f>
        <v>10</v>
      </c>
      <c r="V3" s="137" t="str">
        <f>LEFT(V$4,FIND("-",V$4)-1)</f>
        <v>15</v>
      </c>
    </row>
    <row r="4" spans="1:22" ht="40.5" customHeight="1" x14ac:dyDescent="0.35">
      <c r="A4" s="125" t="s">
        <v>174</v>
      </c>
      <c r="B4" s="131" t="s">
        <v>181</v>
      </c>
      <c r="C4" s="131" t="s">
        <v>182</v>
      </c>
      <c r="D4" s="124"/>
      <c r="E4" s="132" t="s">
        <v>179</v>
      </c>
      <c r="F4" s="132" t="s">
        <v>180</v>
      </c>
      <c r="G4" s="132" t="s">
        <v>186</v>
      </c>
      <c r="I4" s="132" t="s">
        <v>183</v>
      </c>
      <c r="J4" s="132" t="s">
        <v>184</v>
      </c>
      <c r="K4" s="132" t="s">
        <v>185</v>
      </c>
      <c r="L4" s="132" t="s">
        <v>188</v>
      </c>
      <c r="M4" s="133"/>
      <c r="N4" s="132" t="str">
        <f>I4</f>
        <v>3-Year</v>
      </c>
      <c r="O4" s="132" t="str">
        <f t="shared" ref="O4:Q4" si="0">J4</f>
        <v>5-Year</v>
      </c>
      <c r="P4" s="132" t="str">
        <f t="shared" si="0"/>
        <v>10-Year</v>
      </c>
      <c r="Q4" s="132" t="str">
        <f t="shared" si="0"/>
        <v>15-Year</v>
      </c>
      <c r="S4" s="132" t="str">
        <f>N4</f>
        <v>3-Year</v>
      </c>
      <c r="T4" s="132" t="str">
        <f t="shared" ref="T4" si="1">O4</f>
        <v>5-Year</v>
      </c>
      <c r="U4" s="132" t="str">
        <f t="shared" ref="U4" si="2">P4</f>
        <v>10-Year</v>
      </c>
      <c r="V4" s="132" t="str">
        <f t="shared" ref="V4" si="3">Q4</f>
        <v>15-Year</v>
      </c>
    </row>
    <row r="5" spans="1:22" ht="12" customHeight="1" x14ac:dyDescent="0.2">
      <c r="A5" s="117" t="s">
        <v>173</v>
      </c>
      <c r="B5" s="121">
        <v>49.5</v>
      </c>
      <c r="C5" s="120">
        <v>10</v>
      </c>
      <c r="D5" s="114"/>
      <c r="E5" s="130">
        <f>LN(1+B5/100)</f>
        <v>0.40212620684264982</v>
      </c>
      <c r="F5" s="130">
        <f>LN(1+C5/100)</f>
        <v>9.5310179804324935E-2</v>
      </c>
      <c r="G5" s="130">
        <f>E5-F5</f>
        <v>0.30681602703832489</v>
      </c>
      <c r="I5" s="138" t="str">
        <f ca="1">IF(ISNUMBER(OFFSET($E5,-I$3+1,0)),SUM(OFFSET($E5,-I$3+1,0,I$3,1))/I$3,"")</f>
        <v/>
      </c>
      <c r="J5" s="138" t="str">
        <f t="shared" ref="J5:L5" ca="1" si="4">IF(ISNUMBER(OFFSET($E5,-J$3+1,0)),SUM(OFFSET($E5,-J$3+1,0,J$3,1))/J$3,"")</f>
        <v/>
      </c>
      <c r="K5" s="138" t="str">
        <f t="shared" ca="1" si="4"/>
        <v/>
      </c>
      <c r="L5" s="138" t="str">
        <f t="shared" ca="1" si="4"/>
        <v/>
      </c>
      <c r="N5" s="138" t="str">
        <f ca="1">IF(ISNUMBER(OFFSET($G5,-N$3+1,0)),SUM(OFFSET($G5,-N$3+1,0,N$3,1))/N$3,"")</f>
        <v/>
      </c>
      <c r="O5" s="138" t="str">
        <f t="shared" ref="O5:Q20" ca="1" si="5">IF(ISNUMBER(OFFSET($G5,-O$3+1,0)),SUM(OFFSET($G5,-O$3+1,0,O$3,1))/O$3,"")</f>
        <v/>
      </c>
      <c r="P5" s="138" t="str">
        <f t="shared" ca="1" si="5"/>
        <v/>
      </c>
      <c r="Q5" s="138" t="str">
        <f t="shared" ca="1" si="5"/>
        <v/>
      </c>
      <c r="S5" s="138" t="str">
        <f ca="1">IF(ISNUMBER(OFFSET($F5,-S$3+1,0)),SUM(OFFSET($F5,-S$3+1,0,S$3,1))/S$3,"")</f>
        <v/>
      </c>
      <c r="T5" s="138" t="str">
        <f t="shared" ref="T5:V20" ca="1" si="6">IF(ISNUMBER(OFFSET($F5,-T$3+1,0)),SUM(OFFSET($F5,-T$3+1,0,T$3,1))/T$3,"")</f>
        <v/>
      </c>
      <c r="U5" s="138" t="str">
        <f t="shared" ca="1" si="6"/>
        <v/>
      </c>
      <c r="V5" s="138" t="str">
        <f t="shared" ca="1" si="6"/>
        <v/>
      </c>
    </row>
    <row r="6" spans="1:22" ht="12" customHeight="1" x14ac:dyDescent="0.2">
      <c r="A6" s="117" t="s">
        <v>172</v>
      </c>
      <c r="B6" s="123">
        <v>-3.4</v>
      </c>
      <c r="C6" s="122">
        <v>-11.7</v>
      </c>
      <c r="D6" s="114"/>
      <c r="E6" s="130">
        <f t="shared" ref="E6:F60" si="7">LN(1+B6/100)</f>
        <v>-3.459144476961909E-2</v>
      </c>
      <c r="F6" s="130">
        <f t="shared" si="7"/>
        <v>-0.12443007837817703</v>
      </c>
      <c r="G6" s="130">
        <f t="shared" ref="G6:G60" si="8">E6-F6</f>
        <v>8.9838633608557941E-2</v>
      </c>
      <c r="I6" s="138" t="str">
        <f t="shared" ref="I6:L60" ca="1" si="9">IF(ISNUMBER(OFFSET($E6,-I$3+1,0)),SUM(OFFSET($E6,-I$3+1,0,I$3,1))/I$3,"")</f>
        <v/>
      </c>
      <c r="J6" s="138" t="str">
        <f t="shared" ca="1" si="9"/>
        <v/>
      </c>
      <c r="K6" s="138" t="str">
        <f t="shared" ca="1" si="9"/>
        <v/>
      </c>
      <c r="L6" s="138" t="str">
        <f t="shared" ca="1" si="9"/>
        <v/>
      </c>
      <c r="N6" s="138" t="str">
        <f t="shared" ref="N6:Q37" ca="1" si="10">IF(ISNUMBER(OFFSET($G6,-N$3+1,0)),SUM(OFFSET($G6,-N$3+1,0,N$3,1))/N$3,"")</f>
        <v/>
      </c>
      <c r="O6" s="138" t="str">
        <f t="shared" ca="1" si="5"/>
        <v/>
      </c>
      <c r="P6" s="138" t="str">
        <f t="shared" ca="1" si="5"/>
        <v/>
      </c>
      <c r="Q6" s="138" t="str">
        <f t="shared" ca="1" si="5"/>
        <v/>
      </c>
      <c r="S6" s="138" t="str">
        <f t="shared" ref="S6:V37" ca="1" si="11">IF(ISNUMBER(OFFSET($F6,-S$3+1,0)),SUM(OFFSET($F6,-S$3+1,0,S$3,1))/S$3,"")</f>
        <v/>
      </c>
      <c r="T6" s="138" t="str">
        <f t="shared" ca="1" si="6"/>
        <v/>
      </c>
      <c r="U6" s="138" t="str">
        <f t="shared" ca="1" si="6"/>
        <v/>
      </c>
      <c r="V6" s="138" t="str">
        <f t="shared" ca="1" si="6"/>
        <v/>
      </c>
    </row>
    <row r="7" spans="1:22" ht="12" customHeight="1" x14ac:dyDescent="0.2">
      <c r="A7" s="117" t="s">
        <v>171</v>
      </c>
      <c r="B7" s="121">
        <v>13.3</v>
      </c>
      <c r="C7" s="120">
        <v>30.9</v>
      </c>
      <c r="D7" s="114"/>
      <c r="E7" s="130">
        <f t="shared" si="7"/>
        <v>0.12486898204586927</v>
      </c>
      <c r="F7" s="130">
        <f t="shared" si="7"/>
        <v>0.26926348692776281</v>
      </c>
      <c r="G7" s="130">
        <f t="shared" si="8"/>
        <v>-0.14439450488189354</v>
      </c>
      <c r="I7" s="138">
        <f t="shared" ca="1" si="9"/>
        <v>0.16413458137296666</v>
      </c>
      <c r="J7" s="138" t="str">
        <f t="shared" ca="1" si="9"/>
        <v/>
      </c>
      <c r="K7" s="138" t="str">
        <f t="shared" ca="1" si="9"/>
        <v/>
      </c>
      <c r="L7" s="138" t="str">
        <f t="shared" ca="1" si="9"/>
        <v/>
      </c>
      <c r="N7" s="138">
        <f t="shared" ca="1" si="10"/>
        <v>8.4086718588329765E-2</v>
      </c>
      <c r="O7" s="138" t="str">
        <f t="shared" ca="1" si="5"/>
        <v/>
      </c>
      <c r="P7" s="138" t="str">
        <f t="shared" ca="1" si="5"/>
        <v/>
      </c>
      <c r="Q7" s="138" t="str">
        <f t="shared" ca="1" si="5"/>
        <v/>
      </c>
      <c r="S7" s="138">
        <f t="shared" ca="1" si="11"/>
        <v>8.0047862784636895E-2</v>
      </c>
      <c r="T7" s="138" t="str">
        <f t="shared" ca="1" si="6"/>
        <v/>
      </c>
      <c r="U7" s="138" t="str">
        <f t="shared" ca="1" si="6"/>
        <v/>
      </c>
      <c r="V7" s="138" t="str">
        <f t="shared" ca="1" si="6"/>
        <v/>
      </c>
    </row>
    <row r="8" spans="1:22" ht="12" customHeight="1" x14ac:dyDescent="0.2">
      <c r="A8" s="117" t="s">
        <v>170</v>
      </c>
      <c r="B8" s="121">
        <v>77.8</v>
      </c>
      <c r="C8" s="120">
        <v>11</v>
      </c>
      <c r="D8" s="114"/>
      <c r="E8" s="130">
        <f t="shared" si="7"/>
        <v>0.5754891370917129</v>
      </c>
      <c r="F8" s="130">
        <f t="shared" si="7"/>
        <v>0.10436001532424286</v>
      </c>
      <c r="G8" s="130">
        <f t="shared" si="8"/>
        <v>0.47112912176747002</v>
      </c>
      <c r="I8" s="138">
        <f t="shared" ca="1" si="9"/>
        <v>0.22192222478932103</v>
      </c>
      <c r="J8" s="138" t="str">
        <f t="shared" ca="1" si="9"/>
        <v/>
      </c>
      <c r="K8" s="138" t="str">
        <f t="shared" ca="1" si="9"/>
        <v/>
      </c>
      <c r="L8" s="138" t="str">
        <f t="shared" ca="1" si="9"/>
        <v/>
      </c>
      <c r="N8" s="138">
        <f t="shared" ca="1" si="10"/>
        <v>0.13885775016471147</v>
      </c>
      <c r="O8" s="138" t="str">
        <f t="shared" ca="1" si="5"/>
        <v/>
      </c>
      <c r="P8" s="138" t="str">
        <f t="shared" ca="1" si="5"/>
        <v/>
      </c>
      <c r="Q8" s="138" t="str">
        <f t="shared" ca="1" si="5"/>
        <v/>
      </c>
      <c r="S8" s="138">
        <f t="shared" ca="1" si="11"/>
        <v>8.3064474624609544E-2</v>
      </c>
      <c r="T8" s="138" t="str">
        <f t="shared" ca="1" si="6"/>
        <v/>
      </c>
      <c r="U8" s="138" t="str">
        <f t="shared" ca="1" si="6"/>
        <v/>
      </c>
      <c r="V8" s="138" t="str">
        <f t="shared" ca="1" si="6"/>
        <v/>
      </c>
    </row>
    <row r="9" spans="1:22" ht="12" customHeight="1" x14ac:dyDescent="0.2">
      <c r="A9" s="117" t="s">
        <v>169</v>
      </c>
      <c r="B9" s="121">
        <v>19.399999999999999</v>
      </c>
      <c r="C9" s="122">
        <v>-8.4</v>
      </c>
      <c r="D9" s="114"/>
      <c r="E9" s="130">
        <f t="shared" si="7"/>
        <v>0.17730901497041029</v>
      </c>
      <c r="F9" s="130">
        <f t="shared" si="7"/>
        <v>-8.7738914308006746E-2</v>
      </c>
      <c r="G9" s="130">
        <f t="shared" si="8"/>
        <v>0.26504792927841703</v>
      </c>
      <c r="I9" s="138">
        <f t="shared" ca="1" si="9"/>
        <v>0.29255571136933084</v>
      </c>
      <c r="J9" s="138">
        <f t="shared" ca="1" si="9"/>
        <v>0.24904037923620467</v>
      </c>
      <c r="K9" s="138" t="str">
        <f t="shared" ca="1" si="9"/>
        <v/>
      </c>
      <c r="L9" s="138" t="str">
        <f t="shared" ca="1" si="9"/>
        <v/>
      </c>
      <c r="N9" s="138">
        <f t="shared" ca="1" si="10"/>
        <v>0.19726084872133118</v>
      </c>
      <c r="O9" s="138">
        <f t="shared" ca="1" si="5"/>
        <v>0.19768744136217525</v>
      </c>
      <c r="P9" s="138" t="str">
        <f t="shared" ca="1" si="5"/>
        <v/>
      </c>
      <c r="Q9" s="138" t="str">
        <f t="shared" ca="1" si="5"/>
        <v/>
      </c>
      <c r="S9" s="138">
        <f t="shared" ca="1" si="11"/>
        <v>9.5294862647999648E-2</v>
      </c>
      <c r="T9" s="138">
        <f t="shared" ca="1" si="6"/>
        <v>5.1352937874029371E-2</v>
      </c>
      <c r="U9" s="138" t="str">
        <f t="shared" ca="1" si="6"/>
        <v/>
      </c>
      <c r="V9" s="138" t="str">
        <f t="shared" ca="1" si="6"/>
        <v/>
      </c>
    </row>
    <row r="10" spans="1:22" ht="12" customHeight="1" x14ac:dyDescent="0.2">
      <c r="A10" s="117" t="s">
        <v>168</v>
      </c>
      <c r="B10" s="123">
        <v>-4.5999999999999996</v>
      </c>
      <c r="C10" s="120">
        <v>3.9</v>
      </c>
      <c r="D10" s="114"/>
      <c r="E10" s="130">
        <f t="shared" si="7"/>
        <v>-4.7091607533850569E-2</v>
      </c>
      <c r="F10" s="130">
        <f t="shared" si="7"/>
        <v>3.8258712117090268E-2</v>
      </c>
      <c r="G10" s="130">
        <f t="shared" si="8"/>
        <v>-8.5350319650940837E-2</v>
      </c>
      <c r="I10" s="138">
        <f t="shared" ca="1" si="9"/>
        <v>0.23523551484275754</v>
      </c>
      <c r="J10" s="138">
        <f t="shared" ca="1" si="9"/>
        <v>0.15919681636090457</v>
      </c>
      <c r="K10" s="138" t="str">
        <f t="shared" ca="1" si="9"/>
        <v/>
      </c>
      <c r="L10" s="138" t="str">
        <f t="shared" ca="1" si="9"/>
        <v/>
      </c>
      <c r="N10" s="138">
        <f t="shared" ca="1" si="10"/>
        <v>0.21694224379831539</v>
      </c>
      <c r="O10" s="138">
        <f t="shared" ca="1" si="5"/>
        <v>0.11925417202432212</v>
      </c>
      <c r="P10" s="138" t="str">
        <f t="shared" ca="1" si="5"/>
        <v/>
      </c>
      <c r="Q10" s="138" t="str">
        <f t="shared" ca="1" si="5"/>
        <v/>
      </c>
      <c r="S10" s="138">
        <f t="shared" ca="1" si="11"/>
        <v>1.8293271044442127E-2</v>
      </c>
      <c r="T10" s="138">
        <f t="shared" ca="1" si="6"/>
        <v>3.9942644336582421E-2</v>
      </c>
      <c r="U10" s="138" t="str">
        <f t="shared" ca="1" si="6"/>
        <v/>
      </c>
      <c r="V10" s="138" t="str">
        <f t="shared" ca="1" si="6"/>
        <v/>
      </c>
    </row>
    <row r="11" spans="1:22" ht="12" customHeight="1" x14ac:dyDescent="0.2">
      <c r="A11" s="117" t="s">
        <v>167</v>
      </c>
      <c r="B11" s="121">
        <v>80.5</v>
      </c>
      <c r="C11" s="120">
        <v>14.6</v>
      </c>
      <c r="D11" s="114"/>
      <c r="E11" s="130">
        <f t="shared" si="7"/>
        <v>0.59056059178484432</v>
      </c>
      <c r="F11" s="130">
        <f t="shared" si="7"/>
        <v>0.13627761829254775</v>
      </c>
      <c r="G11" s="130">
        <f t="shared" si="8"/>
        <v>0.45428297349229657</v>
      </c>
      <c r="I11" s="138">
        <f t="shared" ca="1" si="9"/>
        <v>0.24025933307380135</v>
      </c>
      <c r="J11" s="138">
        <f t="shared" ca="1" si="9"/>
        <v>0.28422722367179726</v>
      </c>
      <c r="K11" s="138" t="str">
        <f t="shared" ca="1" si="9"/>
        <v/>
      </c>
      <c r="L11" s="138" t="str">
        <f t="shared" ca="1" si="9"/>
        <v/>
      </c>
      <c r="N11" s="138">
        <f t="shared" ca="1" si="10"/>
        <v>0.21132686103992426</v>
      </c>
      <c r="O11" s="138">
        <f t="shared" ca="1" si="5"/>
        <v>0.19214304000106983</v>
      </c>
      <c r="P11" s="138" t="str">
        <f t="shared" ca="1" si="5"/>
        <v/>
      </c>
      <c r="Q11" s="138" t="str">
        <f t="shared" ca="1" si="5"/>
        <v/>
      </c>
      <c r="S11" s="138">
        <f t="shared" ca="1" si="11"/>
        <v>2.8932472033877093E-2</v>
      </c>
      <c r="T11" s="138">
        <f t="shared" ca="1" si="6"/>
        <v>9.208418367072739E-2</v>
      </c>
      <c r="U11" s="138" t="str">
        <f t="shared" ca="1" si="6"/>
        <v/>
      </c>
      <c r="V11" s="138" t="str">
        <f t="shared" ca="1" si="6"/>
        <v/>
      </c>
    </row>
    <row r="12" spans="1:22" ht="12" customHeight="1" x14ac:dyDescent="0.2">
      <c r="A12" s="117" t="s">
        <v>166</v>
      </c>
      <c r="B12" s="121">
        <v>8.1</v>
      </c>
      <c r="C12" s="120">
        <v>18.899999999999999</v>
      </c>
      <c r="D12" s="114"/>
      <c r="E12" s="130">
        <f t="shared" si="7"/>
        <v>7.7886538657071194E-2</v>
      </c>
      <c r="F12" s="130">
        <f t="shared" si="7"/>
        <v>0.17311261770864483</v>
      </c>
      <c r="G12" s="130">
        <f t="shared" si="8"/>
        <v>-9.5226079051573639E-2</v>
      </c>
      <c r="I12" s="138">
        <f t="shared" ca="1" si="9"/>
        <v>0.20711850763602166</v>
      </c>
      <c r="J12" s="138">
        <f t="shared" ca="1" si="9"/>
        <v>0.27483073499403765</v>
      </c>
      <c r="K12" s="138" t="str">
        <f t="shared" ca="1" si="9"/>
        <v/>
      </c>
      <c r="L12" s="138" t="str">
        <f t="shared" ca="1" si="9"/>
        <v/>
      </c>
      <c r="N12" s="138">
        <f t="shared" ca="1" si="10"/>
        <v>9.123552492992737E-2</v>
      </c>
      <c r="O12" s="138">
        <f t="shared" ca="1" si="5"/>
        <v>0.20197672516713383</v>
      </c>
      <c r="P12" s="138" t="str">
        <f t="shared" ca="1" si="5"/>
        <v/>
      </c>
      <c r="Q12" s="138" t="str">
        <f t="shared" ca="1" si="5"/>
        <v/>
      </c>
      <c r="S12" s="138">
        <f t="shared" ca="1" si="11"/>
        <v>0.11588298270609428</v>
      </c>
      <c r="T12" s="138">
        <f t="shared" ca="1" si="6"/>
        <v>7.2854009826903793E-2</v>
      </c>
      <c r="U12" s="138" t="str">
        <f t="shared" ca="1" si="6"/>
        <v/>
      </c>
      <c r="V12" s="138" t="str">
        <f t="shared" ca="1" si="6"/>
        <v/>
      </c>
    </row>
    <row r="13" spans="1:22" ht="12" customHeight="1" x14ac:dyDescent="0.2">
      <c r="A13" s="117" t="s">
        <v>165</v>
      </c>
      <c r="B13" s="123">
        <v>-2.5</v>
      </c>
      <c r="C13" s="122">
        <v>-14.8</v>
      </c>
      <c r="D13" s="114"/>
      <c r="E13" s="130">
        <f t="shared" si="7"/>
        <v>-2.5317807984289897E-2</v>
      </c>
      <c r="F13" s="130">
        <f t="shared" si="7"/>
        <v>-0.16016875215282134</v>
      </c>
      <c r="G13" s="130">
        <f t="shared" si="8"/>
        <v>0.13485094416853144</v>
      </c>
      <c r="I13" s="138">
        <f t="shared" ca="1" si="9"/>
        <v>0.21437644081920851</v>
      </c>
      <c r="J13" s="138">
        <f t="shared" ca="1" si="9"/>
        <v>0.15466934597883708</v>
      </c>
      <c r="K13" s="138" t="str">
        <f t="shared" ca="1" si="9"/>
        <v/>
      </c>
      <c r="L13" s="138" t="str">
        <f t="shared" ca="1" si="9"/>
        <v/>
      </c>
      <c r="N13" s="138">
        <f t="shared" ca="1" si="10"/>
        <v>0.16463594620308478</v>
      </c>
      <c r="O13" s="138">
        <f t="shared" ca="1" si="5"/>
        <v>0.13472108964734614</v>
      </c>
      <c r="P13" s="138" t="str">
        <f t="shared" ca="1" si="5"/>
        <v/>
      </c>
      <c r="Q13" s="138" t="str">
        <f t="shared" ca="1" si="5"/>
        <v/>
      </c>
      <c r="S13" s="138">
        <f t="shared" ca="1" si="11"/>
        <v>4.9740494616123752E-2</v>
      </c>
      <c r="T13" s="138">
        <f t="shared" ca="1" si="6"/>
        <v>1.9948256331490954E-2</v>
      </c>
      <c r="U13" s="138" t="str">
        <f t="shared" ca="1" si="6"/>
        <v/>
      </c>
      <c r="V13" s="138" t="str">
        <f t="shared" ca="1" si="6"/>
        <v/>
      </c>
    </row>
    <row r="14" spans="1:22" ht="12" customHeight="1" x14ac:dyDescent="0.2">
      <c r="A14" s="117" t="s">
        <v>164</v>
      </c>
      <c r="B14" s="123">
        <v>-48.7</v>
      </c>
      <c r="C14" s="122">
        <v>-26.4</v>
      </c>
      <c r="D14" s="114"/>
      <c r="E14" s="130">
        <f t="shared" si="7"/>
        <v>-0.66747943381136776</v>
      </c>
      <c r="F14" s="130">
        <f t="shared" si="7"/>
        <v>-0.30652516025326082</v>
      </c>
      <c r="G14" s="130">
        <f t="shared" si="8"/>
        <v>-0.36095427355810694</v>
      </c>
      <c r="I14" s="138">
        <f t="shared" ca="1" si="9"/>
        <v>-0.2049702343795288</v>
      </c>
      <c r="J14" s="138">
        <f t="shared" ca="1" si="9"/>
        <v>-1.4288343777518553E-2</v>
      </c>
      <c r="K14" s="138">
        <f t="shared" ca="1" si="9"/>
        <v>0.11737601772934307</v>
      </c>
      <c r="L14" s="138" t="str">
        <f t="shared" ca="1" si="9"/>
        <v/>
      </c>
      <c r="N14" s="138">
        <f t="shared" ca="1" si="10"/>
        <v>-0.10710980281371639</v>
      </c>
      <c r="O14" s="138">
        <f t="shared" ca="1" si="5"/>
        <v>9.5206490800413216E-3</v>
      </c>
      <c r="P14" s="138">
        <f t="shared" ca="1" si="5"/>
        <v>0.1036040452211083</v>
      </c>
      <c r="Q14" s="138" t="str">
        <f t="shared" ca="1" si="5"/>
        <v/>
      </c>
      <c r="S14" s="138">
        <f t="shared" ca="1" si="11"/>
        <v>-9.7860431565812436E-2</v>
      </c>
      <c r="T14" s="138">
        <f t="shared" ca="1" si="6"/>
        <v>-2.3808992857559864E-2</v>
      </c>
      <c r="U14" s="138">
        <f t="shared" ca="1" si="6"/>
        <v>1.3771972508234753E-2</v>
      </c>
      <c r="V14" s="138" t="str">
        <f t="shared" ca="1" si="6"/>
        <v/>
      </c>
    </row>
    <row r="15" spans="1:22" ht="12" customHeight="1" x14ac:dyDescent="0.2">
      <c r="A15" s="117" t="s">
        <v>163</v>
      </c>
      <c r="B15" s="121">
        <v>2.5</v>
      </c>
      <c r="C15" s="120">
        <v>37.200000000000003</v>
      </c>
      <c r="D15" s="114"/>
      <c r="E15" s="130">
        <f t="shared" si="7"/>
        <v>2.4692612590371414E-2</v>
      </c>
      <c r="F15" s="130">
        <f t="shared" si="7"/>
        <v>0.31626952930369356</v>
      </c>
      <c r="G15" s="130">
        <f t="shared" si="8"/>
        <v>-0.29157691671332214</v>
      </c>
      <c r="I15" s="138">
        <f t="shared" ca="1" si="9"/>
        <v>-0.22270154306842874</v>
      </c>
      <c r="J15" s="138">
        <f t="shared" ca="1" si="9"/>
        <v>6.8500247325840863E-5</v>
      </c>
      <c r="K15" s="138">
        <f t="shared" ca="1" si="9"/>
        <v>7.9632658304115214E-2</v>
      </c>
      <c r="L15" s="138" t="str">
        <f t="shared" ca="1" si="9"/>
        <v/>
      </c>
      <c r="N15" s="138">
        <f t="shared" ca="1" si="10"/>
        <v>-0.17256008203429921</v>
      </c>
      <c r="O15" s="138">
        <f t="shared" ca="1" si="5"/>
        <v>-3.1724670332434944E-2</v>
      </c>
      <c r="P15" s="138">
        <f t="shared" ca="1" si="5"/>
        <v>4.376475084594357E-2</v>
      </c>
      <c r="Q15" s="138" t="str">
        <f t="shared" ca="1" si="5"/>
        <v/>
      </c>
      <c r="S15" s="138">
        <f t="shared" ca="1" si="11"/>
        <v>-5.0141461034129531E-2</v>
      </c>
      <c r="T15" s="138">
        <f t="shared" ca="1" si="6"/>
        <v>3.1793170579760797E-2</v>
      </c>
      <c r="U15" s="138">
        <f t="shared" ca="1" si="6"/>
        <v>3.5867907458171609E-2</v>
      </c>
      <c r="V15" s="138" t="str">
        <f t="shared" ca="1" si="6"/>
        <v/>
      </c>
    </row>
    <row r="16" spans="1:22" ht="12" customHeight="1" x14ac:dyDescent="0.2">
      <c r="A16" s="117" t="s">
        <v>162</v>
      </c>
      <c r="B16" s="121">
        <v>129.30000000000001</v>
      </c>
      <c r="C16" s="120">
        <v>23.6</v>
      </c>
      <c r="D16" s="114"/>
      <c r="E16" s="130">
        <f t="shared" si="7"/>
        <v>0.82986100387576744</v>
      </c>
      <c r="F16" s="130">
        <f t="shared" si="7"/>
        <v>0.21188035903549901</v>
      </c>
      <c r="G16" s="130">
        <f t="shared" si="8"/>
        <v>0.61798064484026849</v>
      </c>
      <c r="I16" s="138">
        <f t="shared" ca="1" si="9"/>
        <v>6.2358060884923683E-2</v>
      </c>
      <c r="J16" s="138">
        <f t="shared" ca="1" si="9"/>
        <v>4.7928582665510477E-2</v>
      </c>
      <c r="K16" s="138">
        <f t="shared" ca="1" si="9"/>
        <v>0.16607790316865387</v>
      </c>
      <c r="L16" s="138" t="str">
        <f t="shared" ca="1" si="9"/>
        <v/>
      </c>
      <c r="N16" s="138">
        <f t="shared" ca="1" si="10"/>
        <v>-1.1516848477053513E-2</v>
      </c>
      <c r="O16" s="138">
        <f t="shared" ca="1" si="5"/>
        <v>1.0148639371594381E-3</v>
      </c>
      <c r="P16" s="138">
        <f t="shared" ca="1" si="5"/>
        <v>9.6578951969114632E-2</v>
      </c>
      <c r="Q16" s="138" t="str">
        <f t="shared" ca="1" si="5"/>
        <v/>
      </c>
      <c r="S16" s="138">
        <f t="shared" ca="1" si="11"/>
        <v>7.3874909361977256E-2</v>
      </c>
      <c r="T16" s="138">
        <f t="shared" ca="1" si="6"/>
        <v>4.6913718728351053E-2</v>
      </c>
      <c r="U16" s="138">
        <f t="shared" ca="1" si="6"/>
        <v>6.9498951199539222E-2</v>
      </c>
      <c r="V16" s="138" t="str">
        <f t="shared" ca="1" si="6"/>
        <v/>
      </c>
    </row>
    <row r="17" spans="1:22" ht="12" customHeight="1" x14ac:dyDescent="0.2">
      <c r="A17" s="117" t="s">
        <v>161</v>
      </c>
      <c r="B17" s="121">
        <v>46.8</v>
      </c>
      <c r="C17" s="122">
        <v>-7.4</v>
      </c>
      <c r="D17" s="114"/>
      <c r="E17" s="130">
        <f t="shared" si="7"/>
        <v>0.3839009301923238</v>
      </c>
      <c r="F17" s="130">
        <f t="shared" si="7"/>
        <v>-7.6881044335957743E-2</v>
      </c>
      <c r="G17" s="130">
        <f t="shared" si="8"/>
        <v>0.46078197452828151</v>
      </c>
      <c r="I17" s="138">
        <f t="shared" ca="1" si="9"/>
        <v>0.41281818221948757</v>
      </c>
      <c r="J17" s="138">
        <f t="shared" ca="1" si="9"/>
        <v>0.10913146097256102</v>
      </c>
      <c r="K17" s="138">
        <f t="shared" ca="1" si="9"/>
        <v>0.19198109798329932</v>
      </c>
      <c r="L17" s="138" t="str">
        <f t="shared" ca="1" si="9"/>
        <v/>
      </c>
      <c r="N17" s="138">
        <f t="shared" ca="1" si="10"/>
        <v>0.26239523421840927</v>
      </c>
      <c r="O17" s="138">
        <f t="shared" ca="1" si="5"/>
        <v>0.11221647465313048</v>
      </c>
      <c r="P17" s="138">
        <f t="shared" ca="1" si="5"/>
        <v>0.15709659991013217</v>
      </c>
      <c r="Q17" s="138" t="str">
        <f t="shared" ca="1" si="5"/>
        <v/>
      </c>
      <c r="S17" s="138">
        <f t="shared" ca="1" si="11"/>
        <v>0.15042294800107828</v>
      </c>
      <c r="T17" s="138">
        <f t="shared" ca="1" si="6"/>
        <v>-3.0850136805694651E-3</v>
      </c>
      <c r="U17" s="138">
        <f t="shared" ca="1" si="6"/>
        <v>3.4884498073167167E-2</v>
      </c>
      <c r="V17" s="138" t="str">
        <f t="shared" ca="1" si="6"/>
        <v/>
      </c>
    </row>
    <row r="18" spans="1:22" ht="12" customHeight="1" x14ac:dyDescent="0.2">
      <c r="A18" s="117" t="s">
        <v>160</v>
      </c>
      <c r="B18" s="121">
        <v>14.5</v>
      </c>
      <c r="C18" s="120">
        <v>6.4</v>
      </c>
      <c r="D18" s="114"/>
      <c r="E18" s="130">
        <f t="shared" si="7"/>
        <v>0.13540463700620298</v>
      </c>
      <c r="F18" s="130">
        <f t="shared" si="7"/>
        <v>6.2035390919452697E-2</v>
      </c>
      <c r="G18" s="130">
        <f t="shared" si="8"/>
        <v>7.3369246086750273E-2</v>
      </c>
      <c r="I18" s="138">
        <f t="shared" ca="1" si="9"/>
        <v>0.44972219035809807</v>
      </c>
      <c r="J18" s="138">
        <f t="shared" ca="1" si="9"/>
        <v>0.14127594997065956</v>
      </c>
      <c r="K18" s="138">
        <f t="shared" ca="1" si="9"/>
        <v>0.14797264797474832</v>
      </c>
      <c r="L18" s="138" t="str">
        <f t="shared" ca="1" si="9"/>
        <v/>
      </c>
      <c r="N18" s="138">
        <f t="shared" ca="1" si="10"/>
        <v>0.38404395515176676</v>
      </c>
      <c r="O18" s="138">
        <f t="shared" ca="1" si="5"/>
        <v>9.9920135036774244E-2</v>
      </c>
      <c r="P18" s="138">
        <f t="shared" ca="1" si="5"/>
        <v>0.11732061234206019</v>
      </c>
      <c r="Q18" s="138" t="str">
        <f t="shared" ca="1" si="5"/>
        <v/>
      </c>
      <c r="S18" s="138">
        <f t="shared" ca="1" si="11"/>
        <v>6.5678235206331328E-2</v>
      </c>
      <c r="T18" s="138">
        <f t="shared" ca="1" si="6"/>
        <v>4.1355814933885342E-2</v>
      </c>
      <c r="U18" s="138">
        <f t="shared" ca="1" si="6"/>
        <v>3.0652035632688146E-2</v>
      </c>
      <c r="V18" s="138" t="str">
        <f t="shared" ca="1" si="6"/>
        <v/>
      </c>
    </row>
    <row r="19" spans="1:22" ht="12" customHeight="1" x14ac:dyDescent="0.2">
      <c r="A19" s="117" t="s">
        <v>159</v>
      </c>
      <c r="B19" s="121">
        <v>102.5</v>
      </c>
      <c r="C19" s="120">
        <v>18.2</v>
      </c>
      <c r="D19" s="114"/>
      <c r="E19" s="130">
        <f t="shared" si="7"/>
        <v>0.70556970055850243</v>
      </c>
      <c r="F19" s="130">
        <f t="shared" si="7"/>
        <v>0.16720791898390641</v>
      </c>
      <c r="G19" s="130">
        <f t="shared" si="8"/>
        <v>0.53836178157459602</v>
      </c>
      <c r="I19" s="138">
        <f t="shared" ca="1" si="9"/>
        <v>0.40829175591900974</v>
      </c>
      <c r="J19" s="138">
        <f t="shared" ca="1" si="9"/>
        <v>0.41588577684463363</v>
      </c>
      <c r="K19" s="138">
        <f t="shared" ca="1" si="9"/>
        <v>0.20079871653355755</v>
      </c>
      <c r="L19" s="138">
        <f t="shared" ca="1" si="9"/>
        <v>0.21687927076777325</v>
      </c>
      <c r="N19" s="138">
        <f t="shared" ca="1" si="10"/>
        <v>0.35750433406320931</v>
      </c>
      <c r="O19" s="138">
        <f t="shared" ca="1" si="5"/>
        <v>0.27978334606331484</v>
      </c>
      <c r="P19" s="138">
        <f t="shared" ca="1" si="5"/>
        <v>0.14465199757167807</v>
      </c>
      <c r="Q19" s="138">
        <f t="shared" ca="1" si="5"/>
        <v>0.16233047883517715</v>
      </c>
      <c r="S19" s="138">
        <f t="shared" ca="1" si="11"/>
        <v>5.0787421855800458E-2</v>
      </c>
      <c r="T19" s="138">
        <f t="shared" ca="1" si="6"/>
        <v>0.13610243078131878</v>
      </c>
      <c r="U19" s="138">
        <f t="shared" ca="1" si="6"/>
        <v>5.6146718961879463E-2</v>
      </c>
      <c r="V19" s="138">
        <f t="shared" ca="1" si="6"/>
        <v>5.454879193259609E-2</v>
      </c>
    </row>
    <row r="20" spans="1:22" ht="12" customHeight="1" x14ac:dyDescent="0.2">
      <c r="A20" s="117" t="s">
        <v>158</v>
      </c>
      <c r="B20" s="121">
        <v>32.799999999999997</v>
      </c>
      <c r="C20" s="120">
        <v>32.299999999999997</v>
      </c>
      <c r="D20" s="114"/>
      <c r="E20" s="130">
        <f t="shared" si="7"/>
        <v>0.28367405105424198</v>
      </c>
      <c r="F20" s="130">
        <f t="shared" si="7"/>
        <v>0.27990188513281861</v>
      </c>
      <c r="G20" s="130">
        <f t="shared" si="8"/>
        <v>3.772165921423376E-3</v>
      </c>
      <c r="I20" s="138">
        <f t="shared" ca="1" si="9"/>
        <v>0.37488279620631576</v>
      </c>
      <c r="J20" s="138">
        <f t="shared" ca="1" si="9"/>
        <v>0.46768206453740768</v>
      </c>
      <c r="K20" s="138">
        <f t="shared" ca="1" si="9"/>
        <v>0.2338752823923668</v>
      </c>
      <c r="L20" s="138">
        <f t="shared" ca="1" si="9"/>
        <v>0.20898246038187943</v>
      </c>
      <c r="N20" s="138">
        <f t="shared" ca="1" si="10"/>
        <v>0.20516773119425658</v>
      </c>
      <c r="O20" s="138">
        <f t="shared" ca="1" si="5"/>
        <v>0.33885316259026393</v>
      </c>
      <c r="P20" s="138">
        <f t="shared" ca="1" si="5"/>
        <v>0.15356424612891451</v>
      </c>
      <c r="Q20" s="138">
        <f t="shared" ca="1" si="5"/>
        <v>0.14212755476071701</v>
      </c>
      <c r="S20" s="138">
        <f t="shared" ca="1" si="11"/>
        <v>0.16971506501205924</v>
      </c>
      <c r="T20" s="138">
        <f t="shared" ca="1" si="6"/>
        <v>0.1288289019471438</v>
      </c>
      <c r="U20" s="138">
        <f t="shared" ca="1" si="6"/>
        <v>8.031103626345229E-2</v>
      </c>
      <c r="V20" s="138">
        <f t="shared" ca="1" si="6"/>
        <v>6.6854905621162322E-2</v>
      </c>
    </row>
    <row r="21" spans="1:22" ht="12" customHeight="1" x14ac:dyDescent="0.2">
      <c r="A21" s="117" t="s">
        <v>157</v>
      </c>
      <c r="B21" s="121">
        <v>31.8</v>
      </c>
      <c r="C21" s="122">
        <v>-5</v>
      </c>
      <c r="D21" s="114"/>
      <c r="E21" s="130">
        <f t="shared" si="7"/>
        <v>0.27611543608031552</v>
      </c>
      <c r="F21" s="130">
        <f t="shared" si="7"/>
        <v>-5.1293294387550578E-2</v>
      </c>
      <c r="G21" s="130">
        <f t="shared" si="8"/>
        <v>0.32740873046786612</v>
      </c>
      <c r="I21" s="138">
        <f t="shared" ca="1" si="9"/>
        <v>0.42178639589768663</v>
      </c>
      <c r="J21" s="138">
        <f t="shared" ca="1" si="9"/>
        <v>0.35693295097831734</v>
      </c>
      <c r="K21" s="138">
        <f t="shared" ca="1" si="9"/>
        <v>0.20243076682191391</v>
      </c>
      <c r="L21" s="138">
        <f t="shared" ca="1" si="9"/>
        <v>0.22969625243854175</v>
      </c>
      <c r="N21" s="138">
        <f t="shared" ca="1" si="10"/>
        <v>0.28984755932129519</v>
      </c>
      <c r="O21" s="138">
        <f t="shared" ca="1" si="10"/>
        <v>0.28073877971578348</v>
      </c>
      <c r="P21" s="138">
        <f t="shared" ca="1" si="10"/>
        <v>0.14087682182647146</v>
      </c>
      <c r="Q21" s="138">
        <f t="shared" ca="1" si="10"/>
        <v>0.15796556121800426</v>
      </c>
      <c r="S21" s="138">
        <f t="shared" ca="1" si="11"/>
        <v>0.13193883657639147</v>
      </c>
      <c r="T21" s="138">
        <f t="shared" ca="1" si="11"/>
        <v>7.6194171262533875E-2</v>
      </c>
      <c r="U21" s="138">
        <f t="shared" ca="1" si="11"/>
        <v>6.1553944995442464E-2</v>
      </c>
      <c r="V21" s="138">
        <f t="shared" ca="1" si="11"/>
        <v>7.1730691220537421E-2</v>
      </c>
    </row>
    <row r="22" spans="1:22" ht="12" customHeight="1" x14ac:dyDescent="0.2">
      <c r="A22" s="117" t="s">
        <v>156</v>
      </c>
      <c r="B22" s="121">
        <v>38.4</v>
      </c>
      <c r="C22" s="120">
        <v>21.4</v>
      </c>
      <c r="D22" s="114"/>
      <c r="E22" s="130">
        <f t="shared" si="7"/>
        <v>0.32497785719547773</v>
      </c>
      <c r="F22" s="130">
        <f t="shared" si="7"/>
        <v>0.19392069263730649</v>
      </c>
      <c r="G22" s="130">
        <f t="shared" si="8"/>
        <v>0.13105716455817124</v>
      </c>
      <c r="I22" s="138">
        <f t="shared" ca="1" si="9"/>
        <v>0.29492244811001173</v>
      </c>
      <c r="J22" s="138">
        <f t="shared" ca="1" si="9"/>
        <v>0.34514833637894815</v>
      </c>
      <c r="K22" s="138">
        <f t="shared" ca="1" si="9"/>
        <v>0.22713989867575454</v>
      </c>
      <c r="L22" s="138">
        <f t="shared" ca="1" si="9"/>
        <v>0.24303684411518228</v>
      </c>
      <c r="N22" s="138">
        <f t="shared" ca="1" si="10"/>
        <v>0.15407935364915357</v>
      </c>
      <c r="O22" s="138">
        <f t="shared" ca="1" si="10"/>
        <v>0.21479381772176143</v>
      </c>
      <c r="P22" s="138">
        <f t="shared" ca="1" si="10"/>
        <v>0.16350514618744594</v>
      </c>
      <c r="Q22" s="138">
        <f t="shared" ca="1" si="10"/>
        <v>0.17632900584734193</v>
      </c>
      <c r="S22" s="138">
        <f t="shared" ca="1" si="11"/>
        <v>0.14084309446085816</v>
      </c>
      <c r="T22" s="138">
        <f t="shared" ca="1" si="11"/>
        <v>0.13035451865718672</v>
      </c>
      <c r="U22" s="138">
        <f t="shared" ca="1" si="11"/>
        <v>6.3634752488308632E-2</v>
      </c>
      <c r="V22" s="138">
        <f t="shared" ca="1" si="11"/>
        <v>6.6707838267840353E-2</v>
      </c>
    </row>
    <row r="23" spans="1:22" ht="12" customHeight="1" x14ac:dyDescent="0.2">
      <c r="A23" s="117" t="s">
        <v>155</v>
      </c>
      <c r="B23" s="121">
        <v>69</v>
      </c>
      <c r="C23" s="120">
        <v>22.4</v>
      </c>
      <c r="D23" s="114"/>
      <c r="E23" s="130">
        <f t="shared" si="7"/>
        <v>0.52472852893498212</v>
      </c>
      <c r="F23" s="130">
        <f t="shared" si="7"/>
        <v>0.20212418409013433</v>
      </c>
      <c r="G23" s="130">
        <f t="shared" si="8"/>
        <v>0.32260434484484779</v>
      </c>
      <c r="I23" s="138">
        <f t="shared" ca="1" si="9"/>
        <v>0.37527394073692516</v>
      </c>
      <c r="J23" s="138">
        <f t="shared" ca="1" si="9"/>
        <v>0.42301311476470393</v>
      </c>
      <c r="K23" s="138">
        <f t="shared" ca="1" si="9"/>
        <v>0.28214453236768178</v>
      </c>
      <c r="L23" s="138">
        <f t="shared" ca="1" si="9"/>
        <v>0.2396528035714002</v>
      </c>
      <c r="N23" s="138">
        <f t="shared" ca="1" si="10"/>
        <v>0.26035674662362834</v>
      </c>
      <c r="O23" s="138">
        <f t="shared" ca="1" si="10"/>
        <v>0.26464083747338096</v>
      </c>
      <c r="P23" s="138">
        <f t="shared" ca="1" si="10"/>
        <v>0.18228048625507759</v>
      </c>
      <c r="Q23" s="138">
        <f t="shared" ca="1" si="10"/>
        <v>0.16642735405250042</v>
      </c>
      <c r="S23" s="138">
        <f t="shared" ca="1" si="11"/>
        <v>0.11491719411329675</v>
      </c>
      <c r="T23" s="138">
        <f t="shared" ca="1" si="11"/>
        <v>0.15837227729132303</v>
      </c>
      <c r="U23" s="138">
        <f t="shared" ca="1" si="11"/>
        <v>9.9864046112604188E-2</v>
      </c>
      <c r="V23" s="138">
        <f t="shared" ca="1" si="11"/>
        <v>7.3225449518899782E-2</v>
      </c>
    </row>
    <row r="24" spans="1:22" ht="12" customHeight="1" x14ac:dyDescent="0.2">
      <c r="A24" s="117" t="s">
        <v>154</v>
      </c>
      <c r="B24" s="123">
        <v>-2.7</v>
      </c>
      <c r="C24" s="120">
        <v>6.1</v>
      </c>
      <c r="D24" s="114"/>
      <c r="E24" s="130">
        <f t="shared" si="7"/>
        <v>-2.7371196796132015E-2</v>
      </c>
      <c r="F24" s="130">
        <f t="shared" si="7"/>
        <v>5.9211859631846032E-2</v>
      </c>
      <c r="G24" s="130">
        <f t="shared" si="8"/>
        <v>-8.6583056427978047E-2</v>
      </c>
      <c r="I24" s="138">
        <f t="shared" ca="1" si="9"/>
        <v>0.27411172977810933</v>
      </c>
      <c r="J24" s="138">
        <f t="shared" ca="1" si="9"/>
        <v>0.27642493529377704</v>
      </c>
      <c r="K24" s="138">
        <f t="shared" ca="1" si="9"/>
        <v>0.34615535606920533</v>
      </c>
      <c r="L24" s="138">
        <f t="shared" ca="1" si="9"/>
        <v>0.22600745612029743</v>
      </c>
      <c r="N24" s="138">
        <f t="shared" ca="1" si="10"/>
        <v>0.12235948432501366</v>
      </c>
      <c r="O24" s="138">
        <f t="shared" ca="1" si="10"/>
        <v>0.1396518698728661</v>
      </c>
      <c r="P24" s="138">
        <f t="shared" ca="1" si="10"/>
        <v>0.20971760796809047</v>
      </c>
      <c r="Q24" s="138">
        <f t="shared" ca="1" si="10"/>
        <v>0.14298528833874077</v>
      </c>
      <c r="S24" s="138">
        <f t="shared" ca="1" si="11"/>
        <v>0.15175224545309562</v>
      </c>
      <c r="T24" s="138">
        <f t="shared" ca="1" si="11"/>
        <v>0.136773065420911</v>
      </c>
      <c r="U24" s="138">
        <f t="shared" ca="1" si="11"/>
        <v>0.13643774810111489</v>
      </c>
      <c r="V24" s="138">
        <f t="shared" ca="1" si="11"/>
        <v>8.3022167781556619E-2</v>
      </c>
    </row>
    <row r="25" spans="1:22" ht="12" customHeight="1" x14ac:dyDescent="0.2">
      <c r="A25" s="117" t="s">
        <v>153</v>
      </c>
      <c r="B25" s="121">
        <v>93.7</v>
      </c>
      <c r="C25" s="120">
        <v>31.6</v>
      </c>
      <c r="D25" s="114"/>
      <c r="E25" s="130">
        <f t="shared" si="7"/>
        <v>0.6611403844248589</v>
      </c>
      <c r="F25" s="130">
        <f t="shared" si="7"/>
        <v>0.27459683290312548</v>
      </c>
      <c r="G25" s="130">
        <f t="shared" si="8"/>
        <v>0.38654355152173342</v>
      </c>
      <c r="I25" s="138">
        <f t="shared" ca="1" si="9"/>
        <v>0.38616590552123631</v>
      </c>
      <c r="J25" s="138">
        <f t="shared" ca="1" si="9"/>
        <v>0.35191820196790047</v>
      </c>
      <c r="K25" s="138">
        <f t="shared" ca="1" si="9"/>
        <v>0.40980013325265413</v>
      </c>
      <c r="L25" s="138">
        <f t="shared" ca="1" si="9"/>
        <v>0.27322292225087802</v>
      </c>
      <c r="N25" s="138">
        <f t="shared" ca="1" si="10"/>
        <v>0.20752161331286775</v>
      </c>
      <c r="O25" s="138">
        <f t="shared" ca="1" si="10"/>
        <v>0.21620614699292809</v>
      </c>
      <c r="P25" s="138">
        <f t="shared" ca="1" si="10"/>
        <v>0.27752965479159608</v>
      </c>
      <c r="Q25" s="138">
        <f t="shared" ca="1" si="10"/>
        <v>0.17444487975025239</v>
      </c>
      <c r="S25" s="138">
        <f t="shared" ca="1" si="11"/>
        <v>0.17864429220836864</v>
      </c>
      <c r="T25" s="138">
        <f t="shared" ca="1" si="11"/>
        <v>0.13571205497497235</v>
      </c>
      <c r="U25" s="138">
        <f t="shared" ca="1" si="11"/>
        <v>0.13227047846105805</v>
      </c>
      <c r="V25" s="138">
        <f t="shared" ca="1" si="11"/>
        <v>9.8778042500625649E-2</v>
      </c>
    </row>
    <row r="26" spans="1:22" ht="12" customHeight="1" x14ac:dyDescent="0.2">
      <c r="A26" s="117" t="s">
        <v>152</v>
      </c>
      <c r="B26" s="121">
        <v>14.2</v>
      </c>
      <c r="C26" s="120">
        <v>18.600000000000001</v>
      </c>
      <c r="D26" s="114"/>
      <c r="E26" s="130">
        <f t="shared" si="7"/>
        <v>0.13278111123381839</v>
      </c>
      <c r="F26" s="130">
        <f t="shared" si="7"/>
        <v>0.17058630057553367</v>
      </c>
      <c r="G26" s="130">
        <f t="shared" si="8"/>
        <v>-3.7805189341715284E-2</v>
      </c>
      <c r="I26" s="138">
        <f t="shared" ca="1" si="9"/>
        <v>0.25551676628751513</v>
      </c>
      <c r="J26" s="138">
        <f t="shared" ca="1" si="9"/>
        <v>0.32325133699860104</v>
      </c>
      <c r="K26" s="138">
        <f t="shared" ca="1" si="9"/>
        <v>0.34009214398845911</v>
      </c>
      <c r="L26" s="138">
        <f t="shared" ca="1" si="9"/>
        <v>0.24270429021414294</v>
      </c>
      <c r="N26" s="138">
        <f t="shared" ca="1" si="10"/>
        <v>8.7385101917346705E-2</v>
      </c>
      <c r="O26" s="138">
        <f t="shared" ca="1" si="10"/>
        <v>0.14316336303101182</v>
      </c>
      <c r="P26" s="138">
        <f t="shared" ca="1" si="10"/>
        <v>0.21195107137339764</v>
      </c>
      <c r="Q26" s="138">
        <f t="shared" ca="1" si="10"/>
        <v>0.14163900222798492</v>
      </c>
      <c r="S26" s="138">
        <f t="shared" ca="1" si="11"/>
        <v>0.16813166437016838</v>
      </c>
      <c r="T26" s="138">
        <f t="shared" ca="1" si="11"/>
        <v>0.18008797396758922</v>
      </c>
      <c r="U26" s="138">
        <f t="shared" ca="1" si="11"/>
        <v>0.12814107261506152</v>
      </c>
      <c r="V26" s="138">
        <f t="shared" ca="1" si="11"/>
        <v>0.10106528798615805</v>
      </c>
    </row>
    <row r="27" spans="1:22" ht="12" customHeight="1" x14ac:dyDescent="0.2">
      <c r="A27" s="117" t="s">
        <v>151</v>
      </c>
      <c r="B27" s="121">
        <v>4.5999999999999996</v>
      </c>
      <c r="C27" s="120">
        <v>5.0999999999999996</v>
      </c>
      <c r="D27" s="114"/>
      <c r="E27" s="130">
        <f t="shared" si="7"/>
        <v>4.4973365642731196E-2</v>
      </c>
      <c r="F27" s="130">
        <f t="shared" si="7"/>
        <v>4.974209189481401E-2</v>
      </c>
      <c r="G27" s="130">
        <f t="shared" si="8"/>
        <v>-4.7687262520828139E-3</v>
      </c>
      <c r="I27" s="138">
        <f t="shared" ca="1" si="9"/>
        <v>0.27963162043380285</v>
      </c>
      <c r="J27" s="138">
        <f t="shared" ca="1" si="9"/>
        <v>0.26725043868805171</v>
      </c>
      <c r="K27" s="138">
        <f t="shared" ca="1" si="9"/>
        <v>0.3061993875334999</v>
      </c>
      <c r="L27" s="138">
        <f t="shared" ca="1" si="9"/>
        <v>0.24051007867985363</v>
      </c>
      <c r="N27" s="138">
        <f t="shared" ca="1" si="10"/>
        <v>0.11465654530931178</v>
      </c>
      <c r="O27" s="138">
        <f t="shared" ca="1" si="10"/>
        <v>0.11599818486896103</v>
      </c>
      <c r="P27" s="138">
        <f t="shared" ca="1" si="10"/>
        <v>0.16539600129536119</v>
      </c>
      <c r="Q27" s="138">
        <f t="shared" ca="1" si="10"/>
        <v>0.14766949241461763</v>
      </c>
      <c r="S27" s="138">
        <f t="shared" ca="1" si="11"/>
        <v>0.16497507512449103</v>
      </c>
      <c r="T27" s="138">
        <f t="shared" ca="1" si="11"/>
        <v>0.15125225381909074</v>
      </c>
      <c r="U27" s="138">
        <f t="shared" ca="1" si="11"/>
        <v>0.14080338623813871</v>
      </c>
      <c r="V27" s="138">
        <f t="shared" ca="1" si="11"/>
        <v>9.2840586265235989E-2</v>
      </c>
    </row>
    <row r="28" spans="1:22" ht="12" customHeight="1" x14ac:dyDescent="0.2">
      <c r="A28" s="117" t="s">
        <v>150</v>
      </c>
      <c r="B28" s="121">
        <v>59.3</v>
      </c>
      <c r="C28" s="120">
        <v>16.600000000000001</v>
      </c>
      <c r="D28" s="114"/>
      <c r="E28" s="130">
        <f t="shared" si="7"/>
        <v>0.46561903092791146</v>
      </c>
      <c r="F28" s="130">
        <f t="shared" si="7"/>
        <v>0.15357908792830058</v>
      </c>
      <c r="G28" s="130">
        <f t="shared" si="8"/>
        <v>0.31203994299961091</v>
      </c>
      <c r="I28" s="138">
        <f t="shared" ca="1" si="9"/>
        <v>0.21445783593482035</v>
      </c>
      <c r="J28" s="138">
        <f t="shared" ca="1" si="9"/>
        <v>0.2554285390866376</v>
      </c>
      <c r="K28" s="138">
        <f t="shared" ca="1" si="9"/>
        <v>0.33922082692567079</v>
      </c>
      <c r="L28" s="138">
        <f t="shared" ca="1" si="9"/>
        <v>0.27323920127400037</v>
      </c>
      <c r="N28" s="138">
        <f t="shared" ca="1" si="10"/>
        <v>8.9822009135270942E-2</v>
      </c>
      <c r="O28" s="138">
        <f t="shared" ca="1" si="10"/>
        <v>0.11388530449991366</v>
      </c>
      <c r="P28" s="138">
        <f t="shared" ca="1" si="10"/>
        <v>0.18926307098664727</v>
      </c>
      <c r="Q28" s="138">
        <f t="shared" ca="1" si="10"/>
        <v>0.15948209233668958</v>
      </c>
      <c r="S28" s="138">
        <f t="shared" ca="1" si="11"/>
        <v>0.12463582679954943</v>
      </c>
      <c r="T28" s="138">
        <f t="shared" ca="1" si="11"/>
        <v>0.14154323458672396</v>
      </c>
      <c r="U28" s="138">
        <f t="shared" ca="1" si="11"/>
        <v>0.1499577559390235</v>
      </c>
      <c r="V28" s="138">
        <f t="shared" ca="1" si="11"/>
        <v>0.11375710893731077</v>
      </c>
    </row>
    <row r="29" spans="1:22" ht="12" customHeight="1" x14ac:dyDescent="0.2">
      <c r="A29" s="117" t="s">
        <v>149</v>
      </c>
      <c r="B29" s="121">
        <v>84.6</v>
      </c>
      <c r="C29" s="120">
        <v>31.7</v>
      </c>
      <c r="D29" s="114"/>
      <c r="E29" s="130">
        <f t="shared" si="7"/>
        <v>0.61302113608066044</v>
      </c>
      <c r="F29" s="130">
        <f t="shared" si="7"/>
        <v>0.27535642276114397</v>
      </c>
      <c r="G29" s="130">
        <f t="shared" si="8"/>
        <v>0.33766471331951647</v>
      </c>
      <c r="I29" s="138">
        <f t="shared" ca="1" si="9"/>
        <v>0.37453784421710107</v>
      </c>
      <c r="J29" s="138">
        <f t="shared" ca="1" si="9"/>
        <v>0.38350700566199614</v>
      </c>
      <c r="K29" s="138">
        <f t="shared" ca="1" si="9"/>
        <v>0.32996597047788656</v>
      </c>
      <c r="L29" s="138">
        <f t="shared" ca="1" si="9"/>
        <v>0.35860590593346886</v>
      </c>
      <c r="N29" s="138">
        <f t="shared" ca="1" si="10"/>
        <v>0.21497864335568151</v>
      </c>
      <c r="O29" s="138">
        <f t="shared" ca="1" si="10"/>
        <v>0.19873485844941255</v>
      </c>
      <c r="P29" s="138">
        <f t="shared" ca="1" si="10"/>
        <v>0.16919336416113931</v>
      </c>
      <c r="Q29" s="138">
        <f t="shared" ca="1" si="10"/>
        <v>0.20605669146186448</v>
      </c>
      <c r="S29" s="138">
        <f t="shared" ca="1" si="11"/>
        <v>0.15955920086141953</v>
      </c>
      <c r="T29" s="138">
        <f t="shared" ca="1" si="11"/>
        <v>0.18477214721258353</v>
      </c>
      <c r="U29" s="138">
        <f t="shared" ca="1" si="11"/>
        <v>0.16077260631674725</v>
      </c>
      <c r="V29" s="138">
        <f t="shared" ca="1" si="11"/>
        <v>0.15254921447160444</v>
      </c>
    </row>
    <row r="30" spans="1:22" ht="12" customHeight="1" x14ac:dyDescent="0.2">
      <c r="A30" s="117" t="s">
        <v>148</v>
      </c>
      <c r="B30" s="123">
        <v>-23.1</v>
      </c>
      <c r="C30" s="122">
        <v>-3.1</v>
      </c>
      <c r="D30" s="114"/>
      <c r="E30" s="130">
        <f t="shared" si="7"/>
        <v>-0.26266430947649305</v>
      </c>
      <c r="F30" s="130">
        <f t="shared" si="7"/>
        <v>-3.1490667091370848E-2</v>
      </c>
      <c r="G30" s="130">
        <f t="shared" si="8"/>
        <v>-0.2311736423851222</v>
      </c>
      <c r="I30" s="138">
        <f t="shared" ca="1" si="9"/>
        <v>0.27199195251069291</v>
      </c>
      <c r="J30" s="138">
        <f t="shared" ca="1" si="9"/>
        <v>0.19874606688172566</v>
      </c>
      <c r="K30" s="138">
        <f t="shared" ca="1" si="9"/>
        <v>0.27533213442481308</v>
      </c>
      <c r="L30" s="138">
        <f t="shared" ca="1" si="9"/>
        <v>0.33944877779567789</v>
      </c>
      <c r="N30" s="138">
        <f t="shared" ca="1" si="10"/>
        <v>0.13951033797800172</v>
      </c>
      <c r="O30" s="138">
        <f t="shared" ca="1" si="10"/>
        <v>7.5191419668041409E-2</v>
      </c>
      <c r="P30" s="138">
        <f t="shared" ca="1" si="10"/>
        <v>0.14569878333048475</v>
      </c>
      <c r="Q30" s="138">
        <f t="shared" ca="1" si="10"/>
        <v>0.21008357641707784</v>
      </c>
      <c r="S30" s="138">
        <f t="shared" ca="1" si="11"/>
        <v>0.13248161453269125</v>
      </c>
      <c r="T30" s="138">
        <f t="shared" ca="1" si="11"/>
        <v>0.12355464721368428</v>
      </c>
      <c r="U30" s="138">
        <f t="shared" ca="1" si="11"/>
        <v>0.12963335109432833</v>
      </c>
      <c r="V30" s="138">
        <f t="shared" ca="1" si="11"/>
        <v>0.12936520137860014</v>
      </c>
    </row>
    <row r="31" spans="1:22" ht="12" customHeight="1" x14ac:dyDescent="0.2">
      <c r="A31" s="117" t="s">
        <v>147</v>
      </c>
      <c r="B31" s="121">
        <v>35.6</v>
      </c>
      <c r="C31" s="120">
        <v>30.5</v>
      </c>
      <c r="D31" s="114"/>
      <c r="E31" s="130">
        <f t="shared" si="7"/>
        <v>0.30453918951820391</v>
      </c>
      <c r="F31" s="130">
        <f t="shared" si="7"/>
        <v>0.26620304077465667</v>
      </c>
      <c r="G31" s="130">
        <f t="shared" si="8"/>
        <v>3.8336148743547238E-2</v>
      </c>
      <c r="I31" s="138">
        <f t="shared" ca="1" si="9"/>
        <v>0.21829867204079045</v>
      </c>
      <c r="J31" s="138">
        <f t="shared" ca="1" si="9"/>
        <v>0.2330976825386028</v>
      </c>
      <c r="K31" s="138">
        <f t="shared" ca="1" si="9"/>
        <v>0.27817450976860192</v>
      </c>
      <c r="L31" s="138">
        <f t="shared" ca="1" si="9"/>
        <v>0.30442732350517365</v>
      </c>
      <c r="N31" s="138">
        <f t="shared" ca="1" si="10"/>
        <v>4.827573989264717E-2</v>
      </c>
      <c r="O31" s="138">
        <f t="shared" ca="1" si="10"/>
        <v>9.0419687285093919E-2</v>
      </c>
      <c r="P31" s="138">
        <f t="shared" ca="1" si="10"/>
        <v>0.11679152515805287</v>
      </c>
      <c r="Q31" s="138">
        <f t="shared" ca="1" si="10"/>
        <v>0.17144061001062974</v>
      </c>
      <c r="S31" s="138">
        <f t="shared" ca="1" si="11"/>
        <v>0.17002293214814326</v>
      </c>
      <c r="T31" s="138">
        <f t="shared" ca="1" si="11"/>
        <v>0.14267799525350888</v>
      </c>
      <c r="U31" s="138">
        <f t="shared" ca="1" si="11"/>
        <v>0.16138298461054906</v>
      </c>
      <c r="V31" s="138">
        <f t="shared" ca="1" si="11"/>
        <v>0.132986713494544</v>
      </c>
    </row>
    <row r="32" spans="1:22" ht="12" customHeight="1" x14ac:dyDescent="0.2">
      <c r="A32" s="117" t="s">
        <v>146</v>
      </c>
      <c r="B32" s="121">
        <v>29.8</v>
      </c>
      <c r="C32" s="120">
        <v>7.6</v>
      </c>
      <c r="D32" s="114"/>
      <c r="E32" s="130">
        <f t="shared" si="7"/>
        <v>0.26082461828189829</v>
      </c>
      <c r="F32" s="130">
        <f t="shared" si="7"/>
        <v>7.3250461739592737E-2</v>
      </c>
      <c r="G32" s="130">
        <f t="shared" si="8"/>
        <v>0.18757415654230555</v>
      </c>
      <c r="I32" s="138">
        <f t="shared" ca="1" si="9"/>
        <v>0.10089983277453639</v>
      </c>
      <c r="J32" s="138">
        <f t="shared" ca="1" si="9"/>
        <v>0.27626793306643621</v>
      </c>
      <c r="K32" s="138">
        <f t="shared" ca="1" si="9"/>
        <v>0.27175918587724396</v>
      </c>
      <c r="L32" s="138">
        <f t="shared" ca="1" si="9"/>
        <v>0.29622223604447862</v>
      </c>
      <c r="N32" s="138">
        <f t="shared" ca="1" si="10"/>
        <v>-1.7544456997564684E-3</v>
      </c>
      <c r="O32" s="138">
        <f t="shared" ca="1" si="10"/>
        <v>0.12888826384397159</v>
      </c>
      <c r="P32" s="138">
        <f t="shared" ca="1" si="10"/>
        <v>0.1224432243564663</v>
      </c>
      <c r="Q32" s="138">
        <f t="shared" ca="1" si="10"/>
        <v>0.15322675547823134</v>
      </c>
      <c r="S32" s="138">
        <f t="shared" ca="1" si="11"/>
        <v>0.10265427847429286</v>
      </c>
      <c r="T32" s="138">
        <f t="shared" ca="1" si="11"/>
        <v>0.14737966922246465</v>
      </c>
      <c r="U32" s="138">
        <f t="shared" ca="1" si="11"/>
        <v>0.1493159615207777</v>
      </c>
      <c r="V32" s="138">
        <f t="shared" ca="1" si="11"/>
        <v>0.14299548056624733</v>
      </c>
    </row>
    <row r="33" spans="1:22" ht="12" customHeight="1" x14ac:dyDescent="0.2">
      <c r="A33" s="117" t="s">
        <v>145</v>
      </c>
      <c r="B33" s="121">
        <v>38.9</v>
      </c>
      <c r="C33" s="120">
        <v>10.1</v>
      </c>
      <c r="D33" s="114"/>
      <c r="E33" s="130">
        <f t="shared" si="7"/>
        <v>0.32858406377220672</v>
      </c>
      <c r="F33" s="130">
        <f t="shared" si="7"/>
        <v>9.6218857740542896E-2</v>
      </c>
      <c r="G33" s="130">
        <f t="shared" si="8"/>
        <v>0.23236520603166383</v>
      </c>
      <c r="I33" s="138">
        <f t="shared" ca="1" si="9"/>
        <v>0.29798262385743629</v>
      </c>
      <c r="J33" s="138">
        <f t="shared" ca="1" si="9"/>
        <v>0.24886093963529526</v>
      </c>
      <c r="K33" s="138">
        <f t="shared" ca="1" si="9"/>
        <v>0.25214473936096643</v>
      </c>
      <c r="L33" s="138">
        <f t="shared" ca="1" si="9"/>
        <v>0.30910086449554558</v>
      </c>
      <c r="N33" s="138">
        <f t="shared" ca="1" si="10"/>
        <v>0.15275850377250555</v>
      </c>
      <c r="O33" s="138">
        <f t="shared" ca="1" si="10"/>
        <v>0.11295331645038217</v>
      </c>
      <c r="P33" s="138">
        <f t="shared" ca="1" si="10"/>
        <v>0.11341931047514793</v>
      </c>
      <c r="Q33" s="138">
        <f t="shared" ca="1" si="10"/>
        <v>0.16382648614122558</v>
      </c>
      <c r="S33" s="138">
        <f t="shared" ca="1" si="11"/>
        <v>0.14522412008493077</v>
      </c>
      <c r="T33" s="138">
        <f t="shared" ca="1" si="11"/>
        <v>0.13590762318491309</v>
      </c>
      <c r="U33" s="138">
        <f t="shared" ca="1" si="11"/>
        <v>0.13872542888581854</v>
      </c>
      <c r="V33" s="138">
        <f t="shared" ca="1" si="11"/>
        <v>0.14527437835432003</v>
      </c>
    </row>
    <row r="34" spans="1:22" ht="12" customHeight="1" x14ac:dyDescent="0.2">
      <c r="A34" s="117" t="s">
        <v>144</v>
      </c>
      <c r="B34" s="121">
        <v>25</v>
      </c>
      <c r="C34" s="120">
        <v>1.3</v>
      </c>
      <c r="D34" s="114"/>
      <c r="E34" s="130">
        <f t="shared" si="7"/>
        <v>0.22314355131420976</v>
      </c>
      <c r="F34" s="130">
        <f t="shared" si="7"/>
        <v>1.2916225266546229E-2</v>
      </c>
      <c r="G34" s="130">
        <f t="shared" si="8"/>
        <v>0.21022732604766353</v>
      </c>
      <c r="I34" s="138">
        <f t="shared" ca="1" si="9"/>
        <v>0.27085074445610496</v>
      </c>
      <c r="J34" s="138">
        <f t="shared" ca="1" si="9"/>
        <v>0.17088542268200513</v>
      </c>
      <c r="K34" s="138">
        <f t="shared" ca="1" si="9"/>
        <v>0.27719621417200063</v>
      </c>
      <c r="L34" s="138">
        <f t="shared" ca="1" si="9"/>
        <v>0.27693912121259279</v>
      </c>
      <c r="N34" s="138">
        <f t="shared" ca="1" si="10"/>
        <v>0.21005556287387761</v>
      </c>
      <c r="O34" s="138">
        <f t="shared" ca="1" si="10"/>
        <v>8.7465838996011597E-2</v>
      </c>
      <c r="P34" s="138">
        <f t="shared" ca="1" si="10"/>
        <v>0.14310034872271207</v>
      </c>
      <c r="Q34" s="138">
        <f t="shared" ca="1" si="10"/>
        <v>0.1419508557727634</v>
      </c>
      <c r="S34" s="138">
        <f t="shared" ca="1" si="11"/>
        <v>6.0795181582227291E-2</v>
      </c>
      <c r="T34" s="138">
        <f t="shared" ca="1" si="11"/>
        <v>8.3419583685993531E-2</v>
      </c>
      <c r="U34" s="138">
        <f t="shared" ca="1" si="11"/>
        <v>0.13409586544928856</v>
      </c>
      <c r="V34" s="138">
        <f t="shared" ca="1" si="11"/>
        <v>0.13498826543982936</v>
      </c>
    </row>
    <row r="35" spans="1:22" ht="12" customHeight="1" x14ac:dyDescent="0.2">
      <c r="A35" s="117" t="s">
        <v>143</v>
      </c>
      <c r="B35" s="121">
        <v>57.4</v>
      </c>
      <c r="C35" s="120">
        <v>37.6</v>
      </c>
      <c r="D35" s="114"/>
      <c r="E35" s="130">
        <f t="shared" si="7"/>
        <v>0.45362014999521139</v>
      </c>
      <c r="F35" s="130">
        <f t="shared" si="7"/>
        <v>0.31918073951115183</v>
      </c>
      <c r="G35" s="130">
        <f t="shared" si="8"/>
        <v>0.13443941048405955</v>
      </c>
      <c r="I35" s="138">
        <f t="shared" ca="1" si="9"/>
        <v>0.33511592169387594</v>
      </c>
      <c r="J35" s="138">
        <f t="shared" ca="1" si="9"/>
        <v>0.31414231457634606</v>
      </c>
      <c r="K35" s="138">
        <f t="shared" ca="1" si="9"/>
        <v>0.25644419072903585</v>
      </c>
      <c r="L35" s="138">
        <f t="shared" ca="1" si="9"/>
        <v>0.28826886114199074</v>
      </c>
      <c r="N35" s="138">
        <f t="shared" ca="1" si="10"/>
        <v>0.19234398085446233</v>
      </c>
      <c r="O35" s="138">
        <f t="shared" ca="1" si="10"/>
        <v>0.16058844956984797</v>
      </c>
      <c r="P35" s="138">
        <f t="shared" ca="1" si="10"/>
        <v>0.11788993461894468</v>
      </c>
      <c r="Q35" s="138">
        <f t="shared" ca="1" si="10"/>
        <v>0.15066200541027247</v>
      </c>
      <c r="S35" s="138">
        <f t="shared" ca="1" si="11"/>
        <v>0.14277194083941366</v>
      </c>
      <c r="T35" s="138">
        <f t="shared" ca="1" si="11"/>
        <v>0.15355386500649809</v>
      </c>
      <c r="U35" s="138">
        <f t="shared" ca="1" si="11"/>
        <v>0.13855425611009117</v>
      </c>
      <c r="V35" s="138">
        <f t="shared" ca="1" si="11"/>
        <v>0.13760685573171827</v>
      </c>
    </row>
    <row r="36" spans="1:22" ht="12" customHeight="1" x14ac:dyDescent="0.2">
      <c r="A36" s="117" t="s">
        <v>142</v>
      </c>
      <c r="B36" s="121">
        <v>6.2</v>
      </c>
      <c r="C36" s="120">
        <v>23</v>
      </c>
      <c r="D36" s="114"/>
      <c r="E36" s="130">
        <f t="shared" si="7"/>
        <v>6.0153922819747144E-2</v>
      </c>
      <c r="F36" s="130">
        <f t="shared" si="7"/>
        <v>0.20701416938432612</v>
      </c>
      <c r="G36" s="130">
        <f t="shared" si="8"/>
        <v>-0.14686024656457897</v>
      </c>
      <c r="I36" s="138">
        <f t="shared" ca="1" si="9"/>
        <v>0.24563920804305614</v>
      </c>
      <c r="J36" s="138">
        <f t="shared" ca="1" si="9"/>
        <v>0.26526526123665473</v>
      </c>
      <c r="K36" s="138">
        <f t="shared" ca="1" si="9"/>
        <v>0.24918147188762871</v>
      </c>
      <c r="L36" s="138">
        <f t="shared" ca="1" si="9"/>
        <v>0.27387142692461952</v>
      </c>
      <c r="N36" s="138">
        <f t="shared" ca="1" si="10"/>
        <v>6.5935496655714701E-2</v>
      </c>
      <c r="O36" s="138">
        <f t="shared" ca="1" si="10"/>
        <v>0.1235491705082227</v>
      </c>
      <c r="P36" s="138">
        <f t="shared" ca="1" si="10"/>
        <v>0.10698442889665831</v>
      </c>
      <c r="Q36" s="138">
        <f t="shared" ca="1" si="10"/>
        <v>0.11904407360810948</v>
      </c>
      <c r="S36" s="138">
        <f t="shared" ca="1" si="11"/>
        <v>0.1797037113873414</v>
      </c>
      <c r="T36" s="138">
        <f t="shared" ca="1" si="11"/>
        <v>0.14171609072843197</v>
      </c>
      <c r="U36" s="138">
        <f t="shared" ca="1" si="11"/>
        <v>0.14219704299097041</v>
      </c>
      <c r="V36" s="138">
        <f t="shared" ca="1" si="11"/>
        <v>0.15482735331651004</v>
      </c>
    </row>
    <row r="37" spans="1:22" ht="12" customHeight="1" x14ac:dyDescent="0.2">
      <c r="A37" s="117" t="s">
        <v>141</v>
      </c>
      <c r="B37" s="121">
        <v>34.9</v>
      </c>
      <c r="C37" s="120">
        <v>33.4</v>
      </c>
      <c r="D37" s="114"/>
      <c r="E37" s="130">
        <f t="shared" si="7"/>
        <v>0.29936357722561879</v>
      </c>
      <c r="F37" s="130">
        <f t="shared" si="7"/>
        <v>0.28818194749343201</v>
      </c>
      <c r="G37" s="130">
        <f t="shared" si="8"/>
        <v>1.1181629732186782E-2</v>
      </c>
      <c r="I37" s="138">
        <f t="shared" ca="1" si="9"/>
        <v>0.27104588334685914</v>
      </c>
      <c r="J37" s="138">
        <f t="shared" ca="1" si="9"/>
        <v>0.27297305302539876</v>
      </c>
      <c r="K37" s="138">
        <f t="shared" ca="1" si="9"/>
        <v>0.27462049304591746</v>
      </c>
      <c r="L37" s="138">
        <f t="shared" ca="1" si="9"/>
        <v>0.27216380825996217</v>
      </c>
      <c r="N37" s="138">
        <f t="shared" ca="1" si="10"/>
        <v>-4.1306878277754439E-4</v>
      </c>
      <c r="O37" s="138">
        <f t="shared" ca="1" si="10"/>
        <v>8.8270665146198954E-2</v>
      </c>
      <c r="P37" s="138">
        <f t="shared" ca="1" si="10"/>
        <v>0.10857946449508526</v>
      </c>
      <c r="Q37" s="138">
        <f t="shared" ca="1" si="10"/>
        <v>0.11105237128637718</v>
      </c>
      <c r="S37" s="138">
        <f t="shared" ca="1" si="11"/>
        <v>0.27145895212963667</v>
      </c>
      <c r="T37" s="138">
        <f t="shared" ca="1" si="11"/>
        <v>0.18470238787919985</v>
      </c>
      <c r="U37" s="138">
        <f t="shared" ca="1" si="11"/>
        <v>0.16604102855083222</v>
      </c>
      <c r="V37" s="138">
        <f t="shared" ca="1" si="11"/>
        <v>0.16111143697358504</v>
      </c>
    </row>
    <row r="38" spans="1:22" ht="12" customHeight="1" x14ac:dyDescent="0.2">
      <c r="A38" s="117" t="s">
        <v>140</v>
      </c>
      <c r="B38" s="121">
        <v>52.2</v>
      </c>
      <c r="C38" s="120">
        <v>28.6</v>
      </c>
      <c r="D38" s="114"/>
      <c r="E38" s="130">
        <f t="shared" si="7"/>
        <v>0.42002525943949409</v>
      </c>
      <c r="F38" s="130">
        <f t="shared" si="7"/>
        <v>0.25153662581542768</v>
      </c>
      <c r="G38" s="130">
        <f t="shared" si="8"/>
        <v>0.16848863362406641</v>
      </c>
      <c r="I38" s="138">
        <f t="shared" ca="1" si="9"/>
        <v>0.25984758649495338</v>
      </c>
      <c r="J38" s="138">
        <f t="shared" ca="1" si="9"/>
        <v>0.29126129215885632</v>
      </c>
      <c r="K38" s="138">
        <f t="shared" ca="1" si="9"/>
        <v>0.27006111589707571</v>
      </c>
      <c r="L38" s="138">
        <f t="shared" ca="1" si="9"/>
        <v>0.26518359029359634</v>
      </c>
      <c r="N38" s="138">
        <f t="shared" ref="N38:Q60" ca="1" si="12">IF(ISNUMBER(OFFSET($G38,-N$3+1,0)),SUM(OFFSET($G38,-N$3+1,0,N$3,1))/N$3,"")</f>
        <v>1.0936672263891408E-2</v>
      </c>
      <c r="O38" s="138">
        <f t="shared" ca="1" si="12"/>
        <v>7.5495350664679467E-2</v>
      </c>
      <c r="P38" s="138">
        <f t="shared" ca="1" si="12"/>
        <v>9.4224333557530821E-2</v>
      </c>
      <c r="Q38" s="138">
        <f t="shared" ca="1" si="12"/>
        <v>0.10077799053832509</v>
      </c>
      <c r="S38" s="138">
        <f t="shared" ref="S38:V60" ca="1" si="13">IF(ISNUMBER(OFFSET($F38,-S$3+1,0)),SUM(OFFSET($F38,-S$3+1,0,S$3,1))/S$3,"")</f>
        <v>0.24891091423106193</v>
      </c>
      <c r="T38" s="138">
        <f t="shared" ca="1" si="13"/>
        <v>0.21576594149417677</v>
      </c>
      <c r="U38" s="138">
        <f t="shared" ca="1" si="13"/>
        <v>0.17583678233954494</v>
      </c>
      <c r="V38" s="138">
        <f t="shared" ca="1" si="13"/>
        <v>0.16440559975527128</v>
      </c>
    </row>
    <row r="39" spans="1:22" ht="12" customHeight="1" x14ac:dyDescent="0.2">
      <c r="A39" s="117" t="s">
        <v>139</v>
      </c>
      <c r="B39" s="123">
        <v>-19.899999999999999</v>
      </c>
      <c r="C39" s="120">
        <v>21</v>
      </c>
      <c r="D39" s="114"/>
      <c r="E39" s="130">
        <f t="shared" si="7"/>
        <v>-0.22189433191377778</v>
      </c>
      <c r="F39" s="130">
        <f t="shared" si="7"/>
        <v>0.1906203596086497</v>
      </c>
      <c r="G39" s="130">
        <f t="shared" si="8"/>
        <v>-0.41251469152242748</v>
      </c>
      <c r="I39" s="138">
        <f t="shared" ca="1" si="9"/>
        <v>0.16583150158377838</v>
      </c>
      <c r="J39" s="138">
        <f t="shared" ca="1" si="9"/>
        <v>0.20225371551325871</v>
      </c>
      <c r="K39" s="138">
        <f t="shared" ca="1" si="9"/>
        <v>0.18656956909763192</v>
      </c>
      <c r="L39" s="138">
        <f t="shared" ca="1" si="9"/>
        <v>0.25221538128575333</v>
      </c>
      <c r="N39" s="138">
        <f t="shared" ca="1" si="12"/>
        <v>-7.7614809388724768E-2</v>
      </c>
      <c r="O39" s="138">
        <f t="shared" ca="1" si="12"/>
        <v>-4.9053052849338738E-2</v>
      </c>
      <c r="P39" s="138">
        <f t="shared" ca="1" si="12"/>
        <v>1.9206393073336436E-2</v>
      </c>
      <c r="Q39" s="138">
        <f t="shared" ca="1" si="12"/>
        <v>7.9049214865361789E-2</v>
      </c>
      <c r="S39" s="138">
        <f t="shared" ca="1" si="13"/>
        <v>0.24344631097250313</v>
      </c>
      <c r="T39" s="138">
        <f t="shared" ca="1" si="13"/>
        <v>0.25130676836259747</v>
      </c>
      <c r="U39" s="138">
        <f t="shared" ca="1" si="13"/>
        <v>0.16736317602429551</v>
      </c>
      <c r="V39" s="138">
        <f t="shared" ca="1" si="13"/>
        <v>0.17316616642039151</v>
      </c>
    </row>
    <row r="40" spans="1:22" ht="12" customHeight="1" x14ac:dyDescent="0.2">
      <c r="A40" s="117" t="s">
        <v>138</v>
      </c>
      <c r="B40" s="121">
        <v>26.6</v>
      </c>
      <c r="C40" s="122">
        <v>-9.1</v>
      </c>
      <c r="D40" s="114"/>
      <c r="E40" s="130">
        <f t="shared" si="7"/>
        <v>0.23586232372198446</v>
      </c>
      <c r="F40" s="130">
        <f t="shared" si="7"/>
        <v>-9.5410184804658182E-2</v>
      </c>
      <c r="G40" s="130">
        <f t="shared" si="8"/>
        <v>0.33127250852664264</v>
      </c>
      <c r="I40" s="138">
        <f t="shared" ca="1" si="9"/>
        <v>0.14466441708256692</v>
      </c>
      <c r="J40" s="138">
        <f t="shared" ca="1" si="9"/>
        <v>0.15870215025861334</v>
      </c>
      <c r="K40" s="138">
        <f t="shared" ca="1" si="9"/>
        <v>0.2364222324174797</v>
      </c>
      <c r="L40" s="138">
        <f t="shared" ca="1" si="9"/>
        <v>0.22386351057222834</v>
      </c>
      <c r="N40" s="138">
        <f t="shared" ca="1" si="12"/>
        <v>2.9082150209427188E-2</v>
      </c>
      <c r="O40" s="138">
        <f t="shared" ca="1" si="12"/>
        <v>-9.6864332408221239E-3</v>
      </c>
      <c r="P40" s="138">
        <f t="shared" ca="1" si="12"/>
        <v>7.5451008164512917E-2</v>
      </c>
      <c r="Q40" s="138">
        <f t="shared" ca="1" si="12"/>
        <v>7.5364478665689086E-2</v>
      </c>
      <c r="S40" s="138">
        <f t="shared" ca="1" si="13"/>
        <v>0.11558226687313973</v>
      </c>
      <c r="T40" s="138">
        <f t="shared" ca="1" si="13"/>
        <v>0.16838858349943547</v>
      </c>
      <c r="U40" s="138">
        <f t="shared" ca="1" si="13"/>
        <v>0.16097122425296678</v>
      </c>
      <c r="V40" s="138">
        <f t="shared" ca="1" si="13"/>
        <v>0.14849903190653926</v>
      </c>
    </row>
    <row r="41" spans="1:22" ht="12" customHeight="1" x14ac:dyDescent="0.2">
      <c r="A41" s="117" t="s">
        <v>137</v>
      </c>
      <c r="B41" s="121">
        <v>6.5</v>
      </c>
      <c r="C41" s="122">
        <v>-11.9</v>
      </c>
      <c r="D41" s="114"/>
      <c r="E41" s="130">
        <f t="shared" si="7"/>
        <v>6.2974799161388387E-2</v>
      </c>
      <c r="F41" s="130">
        <f t="shared" si="7"/>
        <v>-0.12669765304595754</v>
      </c>
      <c r="G41" s="130">
        <f t="shared" si="8"/>
        <v>0.18967245220734591</v>
      </c>
      <c r="I41" s="138">
        <f t="shared" ca="1" si="9"/>
        <v>2.5647596989865021E-2</v>
      </c>
      <c r="J41" s="138">
        <f t="shared" ca="1" si="9"/>
        <v>0.15926632552694159</v>
      </c>
      <c r="K41" s="138">
        <f t="shared" ca="1" si="9"/>
        <v>0.21226579338179813</v>
      </c>
      <c r="L41" s="138">
        <f t="shared" ca="1" si="9"/>
        <v>0.21920975643406634</v>
      </c>
      <c r="N41" s="138">
        <f t="shared" ca="1" si="12"/>
        <v>3.6143423070520354E-2</v>
      </c>
      <c r="O41" s="138">
        <f t="shared" ca="1" si="12"/>
        <v>5.7620106513562849E-2</v>
      </c>
      <c r="P41" s="138">
        <f t="shared" ca="1" si="12"/>
        <v>9.0584638510892754E-2</v>
      </c>
      <c r="Q41" s="138">
        <f t="shared" ca="1" si="12"/>
        <v>9.0529654768959827E-2</v>
      </c>
      <c r="S41" s="138">
        <f t="shared" ca="1" si="13"/>
        <v>-1.0495826080655338E-2</v>
      </c>
      <c r="T41" s="138">
        <f t="shared" ca="1" si="13"/>
        <v>0.10164621901337871</v>
      </c>
      <c r="U41" s="138">
        <f t="shared" ca="1" si="13"/>
        <v>0.12168115487090533</v>
      </c>
      <c r="V41" s="138">
        <f t="shared" ca="1" si="13"/>
        <v>0.12868010166510652</v>
      </c>
    </row>
    <row r="42" spans="1:22" ht="12" customHeight="1" x14ac:dyDescent="0.2">
      <c r="A42" s="117" t="s">
        <v>136</v>
      </c>
      <c r="B42" s="123">
        <v>-3.8</v>
      </c>
      <c r="C42" s="122">
        <v>-22.1</v>
      </c>
      <c r="D42" s="114"/>
      <c r="E42" s="130">
        <f t="shared" si="7"/>
        <v>-3.8740828316430595E-2</v>
      </c>
      <c r="F42" s="130">
        <f t="shared" si="7"/>
        <v>-0.24974423311138874</v>
      </c>
      <c r="G42" s="130">
        <f t="shared" si="8"/>
        <v>0.21100340479495816</v>
      </c>
      <c r="I42" s="138">
        <f t="shared" ca="1" si="9"/>
        <v>8.6698764855647412E-2</v>
      </c>
      <c r="J42" s="138">
        <f t="shared" ca="1" si="9"/>
        <v>9.1645444418531702E-2</v>
      </c>
      <c r="K42" s="138">
        <f t="shared" ca="1" si="9"/>
        <v>0.18230924872196524</v>
      </c>
      <c r="L42" s="138">
        <f t="shared" ca="1" si="9"/>
        <v>0.2136288101701222</v>
      </c>
      <c r="N42" s="138">
        <f t="shared" ca="1" si="12"/>
        <v>0.24398278850964891</v>
      </c>
      <c r="O42" s="138">
        <f t="shared" ca="1" si="12"/>
        <v>9.7584461526117133E-2</v>
      </c>
      <c r="P42" s="138">
        <f t="shared" ca="1" si="12"/>
        <v>9.2927563336158051E-2</v>
      </c>
      <c r="Q42" s="138">
        <f t="shared" ca="1" si="12"/>
        <v>0.10491446350542923</v>
      </c>
      <c r="S42" s="138">
        <f t="shared" ca="1" si="13"/>
        <v>-0.15728402365400149</v>
      </c>
      <c r="T42" s="138">
        <f t="shared" ca="1" si="13"/>
        <v>-5.939017107585415E-3</v>
      </c>
      <c r="U42" s="138">
        <f t="shared" ca="1" si="13"/>
        <v>8.9381685385807208E-2</v>
      </c>
      <c r="V42" s="138">
        <f t="shared" ca="1" si="13"/>
        <v>0.10871434666469301</v>
      </c>
    </row>
    <row r="43" spans="1:22" ht="12" customHeight="1" x14ac:dyDescent="0.2">
      <c r="A43" s="117" t="s">
        <v>135</v>
      </c>
      <c r="B43" s="121">
        <v>15.8</v>
      </c>
      <c r="C43" s="120">
        <v>28.7</v>
      </c>
      <c r="D43" s="114"/>
      <c r="E43" s="130">
        <f t="shared" si="7"/>
        <v>0.14669437915080344</v>
      </c>
      <c r="F43" s="130">
        <f t="shared" si="7"/>
        <v>0.25231392861398955</v>
      </c>
      <c r="G43" s="130">
        <f t="shared" si="8"/>
        <v>-0.10561954946318611</v>
      </c>
      <c r="I43" s="138">
        <f t="shared" ca="1" si="9"/>
        <v>5.6976116665253741E-2</v>
      </c>
      <c r="J43" s="138">
        <f t="shared" ca="1" si="9"/>
        <v>3.6979268360793585E-2</v>
      </c>
      <c r="K43" s="138">
        <f t="shared" ca="1" si="9"/>
        <v>0.16412028025982497</v>
      </c>
      <c r="L43" s="138">
        <f t="shared" ca="1" si="9"/>
        <v>0.192367166718315</v>
      </c>
      <c r="N43" s="138">
        <f t="shared" ca="1" si="12"/>
        <v>9.8352102513039316E-2</v>
      </c>
      <c r="O43" s="138">
        <f t="shared" ca="1" si="12"/>
        <v>4.2762824908666626E-2</v>
      </c>
      <c r="P43" s="138">
        <f t="shared" ca="1" si="12"/>
        <v>5.9129087786673043E-2</v>
      </c>
      <c r="Q43" s="138">
        <f t="shared" ca="1" si="12"/>
        <v>7.7070497341242758E-2</v>
      </c>
      <c r="S43" s="138">
        <f t="shared" ca="1" si="13"/>
        <v>-4.1375985847785589E-2</v>
      </c>
      <c r="T43" s="138">
        <f t="shared" ca="1" si="13"/>
        <v>-5.7835565478730477E-3</v>
      </c>
      <c r="U43" s="138">
        <f t="shared" ca="1" si="13"/>
        <v>0.10499119247315188</v>
      </c>
      <c r="V43" s="138">
        <f t="shared" ca="1" si="13"/>
        <v>0.11529666937707227</v>
      </c>
    </row>
    <row r="44" spans="1:22" ht="12" customHeight="1" x14ac:dyDescent="0.2">
      <c r="A44" s="117" t="s">
        <v>134</v>
      </c>
      <c r="B44" s="121">
        <v>4.3</v>
      </c>
      <c r="C44" s="120">
        <v>10.9</v>
      </c>
      <c r="D44" s="114"/>
      <c r="E44" s="130">
        <f t="shared" si="7"/>
        <v>4.2101176018635326E-2</v>
      </c>
      <c r="F44" s="130">
        <f t="shared" si="7"/>
        <v>0.10345870836822997</v>
      </c>
      <c r="G44" s="130">
        <f t="shared" si="8"/>
        <v>-6.1357532349594644E-2</v>
      </c>
      <c r="I44" s="138">
        <f t="shared" ca="1" si="9"/>
        <v>5.0018242284336052E-2</v>
      </c>
      <c r="J44" s="138">
        <f t="shared" ca="1" si="9"/>
        <v>8.9778369947276199E-2</v>
      </c>
      <c r="K44" s="138">
        <f t="shared" ca="1" si="9"/>
        <v>0.1460160427302675</v>
      </c>
      <c r="L44" s="138">
        <f t="shared" ca="1" si="9"/>
        <v>0.15430583604751333</v>
      </c>
      <c r="N44" s="138">
        <f t="shared" ca="1" si="12"/>
        <v>1.4675440994059137E-2</v>
      </c>
      <c r="O44" s="138">
        <f t="shared" ca="1" si="12"/>
        <v>0.1129942567432332</v>
      </c>
      <c r="P44" s="138">
        <f t="shared" ca="1" si="12"/>
        <v>3.197060194694723E-2</v>
      </c>
      <c r="Q44" s="138">
        <f t="shared" ca="1" si="12"/>
        <v>5.0469014296635355E-2</v>
      </c>
      <c r="S44" s="138">
        <f t="shared" ca="1" si="13"/>
        <v>3.5342801290276928E-2</v>
      </c>
      <c r="T44" s="138">
        <f t="shared" ca="1" si="13"/>
        <v>-2.3215886795956982E-2</v>
      </c>
      <c r="U44" s="138">
        <f t="shared" ca="1" si="13"/>
        <v>0.11404544078332024</v>
      </c>
      <c r="V44" s="138">
        <f t="shared" ca="1" si="13"/>
        <v>0.10383682175087799</v>
      </c>
    </row>
    <row r="45" spans="1:22" ht="12" customHeight="1" x14ac:dyDescent="0.2">
      <c r="A45" s="117" t="s">
        <v>133</v>
      </c>
      <c r="B45" s="121">
        <v>0.8</v>
      </c>
      <c r="C45" s="120">
        <v>4.9000000000000004</v>
      </c>
      <c r="D45" s="114"/>
      <c r="E45" s="130">
        <f t="shared" si="7"/>
        <v>7.9681696491768813E-3</v>
      </c>
      <c r="F45" s="130">
        <f t="shared" si="7"/>
        <v>4.7837329414160058E-2</v>
      </c>
      <c r="G45" s="130">
        <f t="shared" si="8"/>
        <v>-3.9869159764983175E-2</v>
      </c>
      <c r="I45" s="138">
        <f t="shared" ca="1" si="9"/>
        <v>6.5587908272871878E-2</v>
      </c>
      <c r="J45" s="138">
        <f t="shared" ca="1" si="9"/>
        <v>4.4199539132714689E-2</v>
      </c>
      <c r="K45" s="138">
        <f t="shared" ca="1" si="9"/>
        <v>0.10145084469566401</v>
      </c>
      <c r="L45" s="138">
        <f t="shared" ca="1" si="9"/>
        <v>0.17234800132255801</v>
      </c>
      <c r="N45" s="138">
        <f t="shared" ca="1" si="12"/>
        <v>-6.8948747192587978E-2</v>
      </c>
      <c r="O45" s="138">
        <f t="shared" ca="1" si="12"/>
        <v>3.8765923084908019E-2</v>
      </c>
      <c r="P45" s="138">
        <f t="shared" ca="1" si="12"/>
        <v>1.4539744922042953E-2</v>
      </c>
      <c r="Q45" s="138">
        <f t="shared" ca="1" si="12"/>
        <v>6.3222646471311275E-2</v>
      </c>
      <c r="S45" s="138">
        <f t="shared" ca="1" si="13"/>
        <v>0.13453665546545987</v>
      </c>
      <c r="T45" s="138">
        <f t="shared" ca="1" si="13"/>
        <v>5.4336160478066541E-3</v>
      </c>
      <c r="U45" s="138">
        <f t="shared" ca="1" si="13"/>
        <v>8.6911099773621076E-2</v>
      </c>
      <c r="V45" s="138">
        <f t="shared" ca="1" si="13"/>
        <v>0.10912535485124672</v>
      </c>
    </row>
    <row r="46" spans="1:22" ht="12" customHeight="1" x14ac:dyDescent="0.2">
      <c r="A46" s="117" t="s">
        <v>132</v>
      </c>
      <c r="B46" s="121">
        <v>24.1</v>
      </c>
      <c r="C46" s="120">
        <v>15.8</v>
      </c>
      <c r="D46" s="114"/>
      <c r="E46" s="130">
        <f t="shared" si="7"/>
        <v>0.21591750622247025</v>
      </c>
      <c r="F46" s="130">
        <f t="shared" si="7"/>
        <v>0.14669437915080344</v>
      </c>
      <c r="G46" s="130">
        <f t="shared" si="8"/>
        <v>6.9223127071666807E-2</v>
      </c>
      <c r="I46" s="138">
        <f t="shared" ca="1" si="9"/>
        <v>8.8662283963427499E-2</v>
      </c>
      <c r="J46" s="138">
        <f t="shared" ca="1" si="9"/>
        <v>7.4788080544931052E-2</v>
      </c>
      <c r="K46" s="138">
        <f t="shared" ca="1" si="9"/>
        <v>0.11702720303593632</v>
      </c>
      <c r="L46" s="138">
        <f t="shared" ca="1" si="9"/>
        <v>0.16643988910284244</v>
      </c>
      <c r="N46" s="138">
        <f t="shared" ca="1" si="12"/>
        <v>-1.0667855014303673E-2</v>
      </c>
      <c r="O46" s="138">
        <f t="shared" ca="1" si="12"/>
        <v>1.4676058057772206E-2</v>
      </c>
      <c r="P46" s="138">
        <f t="shared" ca="1" si="12"/>
        <v>3.6148082285667529E-2</v>
      </c>
      <c r="Q46" s="138">
        <f t="shared" ca="1" si="12"/>
        <v>6.5281778359852563E-2</v>
      </c>
      <c r="S46" s="138">
        <f t="shared" ca="1" si="13"/>
        <v>9.9330138977731172E-2</v>
      </c>
      <c r="T46" s="138">
        <f t="shared" ca="1" si="13"/>
        <v>6.0112022487158856E-2</v>
      </c>
      <c r="U46" s="138">
        <f t="shared" ca="1" si="13"/>
        <v>8.087912075026879E-2</v>
      </c>
      <c r="V46" s="138">
        <f t="shared" ca="1" si="13"/>
        <v>0.10115811074298985</v>
      </c>
    </row>
    <row r="47" spans="1:22" ht="12" customHeight="1" x14ac:dyDescent="0.2">
      <c r="A47" s="117" t="s">
        <v>131</v>
      </c>
      <c r="B47" s="121">
        <v>28.7</v>
      </c>
      <c r="C47" s="120">
        <v>5.5</v>
      </c>
      <c r="D47" s="114"/>
      <c r="E47" s="130">
        <f t="shared" si="7"/>
        <v>0.25231392861398955</v>
      </c>
      <c r="F47" s="130">
        <f t="shared" si="7"/>
        <v>5.3540766928029761E-2</v>
      </c>
      <c r="G47" s="130">
        <f t="shared" si="8"/>
        <v>0.19877316168595979</v>
      </c>
      <c r="I47" s="138">
        <f t="shared" ca="1" si="9"/>
        <v>0.15873320149521222</v>
      </c>
      <c r="J47" s="138">
        <f t="shared" ca="1" si="9"/>
        <v>0.13299903193101509</v>
      </c>
      <c r="K47" s="138">
        <f t="shared" ca="1" si="9"/>
        <v>0.11232223817477338</v>
      </c>
      <c r="L47" s="138">
        <f t="shared" ca="1" si="9"/>
        <v>0.16587250979164855</v>
      </c>
      <c r="N47" s="138">
        <f t="shared" ca="1" si="12"/>
        <v>7.6042376330881137E-2</v>
      </c>
      <c r="O47" s="138">
        <f t="shared" ca="1" si="12"/>
        <v>1.2230009435972532E-2</v>
      </c>
      <c r="P47" s="138">
        <f t="shared" ca="1" si="12"/>
        <v>5.4907235481044835E-2</v>
      </c>
      <c r="Q47" s="138">
        <f t="shared" ca="1" si="12"/>
        <v>6.6028378702762874E-2</v>
      </c>
      <c r="S47" s="138">
        <f t="shared" ca="1" si="13"/>
        <v>8.2690825164331086E-2</v>
      </c>
      <c r="T47" s="138">
        <f t="shared" ca="1" si="13"/>
        <v>0.12076902249504255</v>
      </c>
      <c r="U47" s="138">
        <f t="shared" ca="1" si="13"/>
        <v>5.7415002693728581E-2</v>
      </c>
      <c r="V47" s="138">
        <f t="shared" ca="1" si="13"/>
        <v>9.9844131088885651E-2</v>
      </c>
    </row>
    <row r="48" spans="1:22" ht="12" customHeight="1" x14ac:dyDescent="0.2">
      <c r="A48" s="117" t="s">
        <v>130</v>
      </c>
      <c r="B48" s="123">
        <v>-31.8</v>
      </c>
      <c r="C48" s="122">
        <v>-37</v>
      </c>
      <c r="D48" s="114"/>
      <c r="E48" s="130">
        <f t="shared" si="7"/>
        <v>-0.38272562113867503</v>
      </c>
      <c r="F48" s="130">
        <f t="shared" si="7"/>
        <v>-0.46203545959655867</v>
      </c>
      <c r="G48" s="130">
        <f t="shared" si="8"/>
        <v>7.9309838457883641E-2</v>
      </c>
      <c r="I48" s="138">
        <f t="shared" ca="1" si="9"/>
        <v>2.8501937899261587E-2</v>
      </c>
      <c r="J48" s="138">
        <f t="shared" ca="1" si="9"/>
        <v>2.7115031873119411E-2</v>
      </c>
      <c r="K48" s="138">
        <f t="shared" ca="1" si="9"/>
        <v>3.2047150116956483E-2</v>
      </c>
      <c r="L48" s="138">
        <f t="shared" ca="1" si="9"/>
        <v>0.11845186413092312</v>
      </c>
      <c r="N48" s="138">
        <f t="shared" ca="1" si="12"/>
        <v>0.11576870907183674</v>
      </c>
      <c r="O48" s="138">
        <f t="shared" ca="1" si="12"/>
        <v>4.9215887020186484E-2</v>
      </c>
      <c r="P48" s="138">
        <f t="shared" ca="1" si="12"/>
        <v>4.5989355964426555E-2</v>
      </c>
      <c r="Q48" s="138">
        <f t="shared" ca="1" si="12"/>
        <v>5.5824687531177523E-2</v>
      </c>
      <c r="S48" s="138">
        <f t="shared" ca="1" si="13"/>
        <v>-8.7266771172575155E-2</v>
      </c>
      <c r="T48" s="138">
        <f t="shared" ca="1" si="13"/>
        <v>-2.2100855147067076E-2</v>
      </c>
      <c r="U48" s="138">
        <f t="shared" ca="1" si="13"/>
        <v>-1.3942205847470069E-2</v>
      </c>
      <c r="V48" s="138">
        <f t="shared" ca="1" si="13"/>
        <v>6.2627176599745552E-2</v>
      </c>
    </row>
    <row r="49" spans="1:22" ht="12" customHeight="1" x14ac:dyDescent="0.2">
      <c r="A49" s="117" t="s">
        <v>129</v>
      </c>
      <c r="B49" s="121">
        <v>2.7</v>
      </c>
      <c r="C49" s="120">
        <v>26.5</v>
      </c>
      <c r="D49" s="114"/>
      <c r="E49" s="130">
        <f t="shared" si="7"/>
        <v>2.6641930946421092E-2</v>
      </c>
      <c r="F49" s="130">
        <f t="shared" si="7"/>
        <v>0.23507212217948364</v>
      </c>
      <c r="G49" s="130">
        <f t="shared" si="8"/>
        <v>-0.20843019123306256</v>
      </c>
      <c r="I49" s="138">
        <f t="shared" ca="1" si="9"/>
        <v>-3.4589920526088135E-2</v>
      </c>
      <c r="J49" s="138">
        <f t="shared" ca="1" si="9"/>
        <v>2.4023182858676551E-2</v>
      </c>
      <c r="K49" s="138">
        <f t="shared" ca="1" si="9"/>
        <v>5.6900776402976375E-2</v>
      </c>
      <c r="L49" s="138">
        <f t="shared" ca="1" si="9"/>
        <v>0.10535175610640386</v>
      </c>
      <c r="N49" s="138">
        <f t="shared" ca="1" si="12"/>
        <v>2.3217602970260303E-2</v>
      </c>
      <c r="O49" s="138">
        <f t="shared" ca="1" si="12"/>
        <v>1.9801355243492903E-2</v>
      </c>
      <c r="P49" s="138">
        <f t="shared" ca="1" si="12"/>
        <v>6.6397805993363049E-2</v>
      </c>
      <c r="Q49" s="138">
        <f t="shared" ca="1" si="12"/>
        <v>2.7914186379129121E-2</v>
      </c>
      <c r="S49" s="138">
        <f t="shared" ca="1" si="13"/>
        <v>-5.7807523496348413E-2</v>
      </c>
      <c r="T49" s="138">
        <f t="shared" ca="1" si="13"/>
        <v>4.2218276151836428E-3</v>
      </c>
      <c r="U49" s="138">
        <f t="shared" ca="1" si="13"/>
        <v>-9.497029590386669E-3</v>
      </c>
      <c r="V49" s="138">
        <f t="shared" ca="1" si="13"/>
        <v>7.743756972727471E-2</v>
      </c>
    </row>
    <row r="50" spans="1:22" ht="12" customHeight="1" x14ac:dyDescent="0.2">
      <c r="A50" s="117" t="s">
        <v>128</v>
      </c>
      <c r="B50" s="121">
        <v>21.4</v>
      </c>
      <c r="C50" s="120">
        <v>15.1</v>
      </c>
      <c r="D50" s="114"/>
      <c r="E50" s="130">
        <f t="shared" si="7"/>
        <v>0.19392069263730649</v>
      </c>
      <c r="F50" s="130">
        <f t="shared" si="7"/>
        <v>0.14063112973974562</v>
      </c>
      <c r="G50" s="130">
        <f t="shared" si="8"/>
        <v>5.3289562897560872E-2</v>
      </c>
      <c r="I50" s="138">
        <f t="shared" ca="1" si="9"/>
        <v>-5.4054332518315817E-2</v>
      </c>
      <c r="J50" s="138">
        <f t="shared" ca="1" si="9"/>
        <v>6.1213687456302471E-2</v>
      </c>
      <c r="K50" s="138">
        <f t="shared" ca="1" si="9"/>
        <v>5.2706613294508584E-2</v>
      </c>
      <c r="L50" s="138">
        <f t="shared" ca="1" si="9"/>
        <v>8.8038458949210183E-2</v>
      </c>
      <c r="N50" s="138">
        <f t="shared" ca="1" si="12"/>
        <v>-2.5276929959206013E-2</v>
      </c>
      <c r="O50" s="138">
        <f t="shared" ca="1" si="12"/>
        <v>3.8433099776001713E-2</v>
      </c>
      <c r="P50" s="138">
        <f t="shared" ca="1" si="12"/>
        <v>3.8599511430454869E-2</v>
      </c>
      <c r="Q50" s="138">
        <f t="shared" ca="1" si="12"/>
        <v>2.2504196540029206E-2</v>
      </c>
      <c r="S50" s="138">
        <f t="shared" ca="1" si="13"/>
        <v>-2.8777402559109804E-2</v>
      </c>
      <c r="T50" s="138">
        <f t="shared" ca="1" si="13"/>
        <v>2.2780587680300758E-2</v>
      </c>
      <c r="U50" s="138">
        <f t="shared" ca="1" si="13"/>
        <v>1.4107101864053706E-2</v>
      </c>
      <c r="V50" s="138">
        <f t="shared" ca="1" si="13"/>
        <v>6.5534262409180963E-2</v>
      </c>
    </row>
    <row r="51" spans="1:22" ht="12" customHeight="1" x14ac:dyDescent="0.2">
      <c r="A51" s="117" t="s">
        <v>127</v>
      </c>
      <c r="B51" s="123">
        <v>-4.7</v>
      </c>
      <c r="C51" s="120">
        <v>2.1</v>
      </c>
      <c r="D51" s="114"/>
      <c r="E51" s="130">
        <f t="shared" si="7"/>
        <v>-4.8140375327934984E-2</v>
      </c>
      <c r="F51" s="130">
        <f t="shared" si="7"/>
        <v>2.0782539182528412E-2</v>
      </c>
      <c r="G51" s="130">
        <f t="shared" si="8"/>
        <v>-6.8922914510463396E-2</v>
      </c>
      <c r="I51" s="138">
        <f t="shared" ca="1" si="9"/>
        <v>5.7474082751930868E-2</v>
      </c>
      <c r="J51" s="138">
        <f t="shared" ca="1" si="9"/>
        <v>8.4021111462214224E-3</v>
      </c>
      <c r="K51" s="138">
        <f t="shared" ca="1" si="9"/>
        <v>4.159509584557624E-2</v>
      </c>
      <c r="L51" s="138">
        <f t="shared" ca="1" si="9"/>
        <v>8.0818839072698018E-2</v>
      </c>
      <c r="N51" s="138">
        <f t="shared" ca="1" si="12"/>
        <v>-7.4687847615321698E-2</v>
      </c>
      <c r="O51" s="138">
        <f t="shared" ca="1" si="12"/>
        <v>1.0803891459575676E-2</v>
      </c>
      <c r="P51" s="138">
        <f t="shared" ca="1" si="12"/>
        <v>1.2739974758673939E-2</v>
      </c>
      <c r="Q51" s="138">
        <f t="shared" ca="1" si="12"/>
        <v>2.7700018676970244E-2</v>
      </c>
      <c r="S51" s="138">
        <f t="shared" ca="1" si="13"/>
        <v>0.13216193036725257</v>
      </c>
      <c r="T51" s="138">
        <f t="shared" ca="1" si="13"/>
        <v>-2.4017803133542432E-3</v>
      </c>
      <c r="U51" s="138">
        <f t="shared" ca="1" si="13"/>
        <v>2.8855121086902309E-2</v>
      </c>
      <c r="V51" s="138">
        <f t="shared" ca="1" si="13"/>
        <v>5.3118820395727774E-2</v>
      </c>
    </row>
    <row r="52" spans="1:22" ht="12" customHeight="1" x14ac:dyDescent="0.2">
      <c r="A52" s="117" t="s">
        <v>126</v>
      </c>
      <c r="B52" s="121">
        <v>16.8</v>
      </c>
      <c r="C52" s="120">
        <v>16</v>
      </c>
      <c r="D52" s="114"/>
      <c r="E52" s="130">
        <f t="shared" si="7"/>
        <v>0.15529288440603525</v>
      </c>
      <c r="F52" s="130">
        <f t="shared" si="7"/>
        <v>0.14842000511827322</v>
      </c>
      <c r="G52" s="130">
        <f t="shared" si="8"/>
        <v>6.8728792877620348E-3</v>
      </c>
      <c r="I52" s="138">
        <f t="shared" ca="1" si="9"/>
        <v>0.10035773390513558</v>
      </c>
      <c r="J52" s="138">
        <f t="shared" ca="1" si="9"/>
        <v>-1.1002097695369435E-2</v>
      </c>
      <c r="K52" s="138">
        <f t="shared" ca="1" si="9"/>
        <v>6.0998467117822822E-2</v>
      </c>
      <c r="L52" s="138">
        <f t="shared" ca="1" si="9"/>
        <v>7.1214126218059101E-2</v>
      </c>
      <c r="N52" s="138">
        <f t="shared" ca="1" si="12"/>
        <v>-2.9201574417134966E-3</v>
      </c>
      <c r="O52" s="138">
        <f t="shared" ca="1" si="12"/>
        <v>-2.7576165020063881E-2</v>
      </c>
      <c r="P52" s="138">
        <f t="shared" ca="1" si="12"/>
        <v>-7.6730777920456742E-3</v>
      </c>
      <c r="Q52" s="138">
        <f t="shared" ca="1" si="12"/>
        <v>2.7412768647341931E-2</v>
      </c>
      <c r="S52" s="138">
        <f t="shared" ca="1" si="13"/>
        <v>0.1032778913468491</v>
      </c>
      <c r="T52" s="138">
        <f t="shared" ca="1" si="13"/>
        <v>1.6574067324694443E-2</v>
      </c>
      <c r="U52" s="138">
        <f t="shared" ca="1" si="13"/>
        <v>6.8671544909868501E-2</v>
      </c>
      <c r="V52" s="138">
        <f t="shared" ca="1" si="13"/>
        <v>4.3801357570717202E-2</v>
      </c>
    </row>
    <row r="53" spans="1:22" ht="12" customHeight="1" x14ac:dyDescent="0.2">
      <c r="A53" s="117" t="s">
        <v>125</v>
      </c>
      <c r="B53" s="121">
        <v>32.700000000000003</v>
      </c>
      <c r="C53" s="120">
        <v>32.4</v>
      </c>
      <c r="D53" s="114"/>
      <c r="E53" s="130">
        <f t="shared" si="7"/>
        <v>0.28292075535007044</v>
      </c>
      <c r="F53" s="130">
        <f t="shared" si="7"/>
        <v>0.28065745751481652</v>
      </c>
      <c r="G53" s="130">
        <f t="shared" si="8"/>
        <v>2.263297835253919E-3</v>
      </c>
      <c r="I53" s="138">
        <f t="shared" ca="1" si="9"/>
        <v>0.13002442147605689</v>
      </c>
      <c r="J53" s="138">
        <f t="shared" ca="1" si="9"/>
        <v>0.12212717760237965</v>
      </c>
      <c r="K53" s="138">
        <f t="shared" ca="1" si="9"/>
        <v>7.4621104737749536E-2</v>
      </c>
      <c r="L53" s="138">
        <f t="shared" ca="1" si="9"/>
        <v>6.2073825945430872E-2</v>
      </c>
      <c r="N53" s="138">
        <f t="shared" ca="1" si="12"/>
        <v>-1.9928912462482479E-2</v>
      </c>
      <c r="O53" s="138">
        <f t="shared" ca="1" si="12"/>
        <v>-4.2985473144589822E-2</v>
      </c>
      <c r="P53" s="138">
        <f t="shared" ca="1" si="12"/>
        <v>3.1152069377983287E-3</v>
      </c>
      <c r="Q53" s="138">
        <f t="shared" ca="1" si="12"/>
        <v>1.6331079594754428E-2</v>
      </c>
      <c r="S53" s="138">
        <f t="shared" ca="1" si="13"/>
        <v>0.14995333393853938</v>
      </c>
      <c r="T53" s="138">
        <f t="shared" ca="1" si="13"/>
        <v>0.16511265074696949</v>
      </c>
      <c r="U53" s="138">
        <f t="shared" ca="1" si="13"/>
        <v>7.1505897799951201E-2</v>
      </c>
      <c r="V53" s="138">
        <f t="shared" ca="1" si="13"/>
        <v>4.5742746350676447E-2</v>
      </c>
    </row>
    <row r="54" spans="1:22" ht="12" customHeight="1" x14ac:dyDescent="0.2">
      <c r="A54" s="117" t="s">
        <v>124</v>
      </c>
      <c r="B54" s="121">
        <v>27</v>
      </c>
      <c r="C54" s="120">
        <v>13.7</v>
      </c>
      <c r="D54" s="114"/>
      <c r="E54" s="130">
        <f t="shared" si="7"/>
        <v>0.23901690047049992</v>
      </c>
      <c r="F54" s="130">
        <f t="shared" si="7"/>
        <v>0.12839321476839899</v>
      </c>
      <c r="G54" s="130">
        <f t="shared" si="8"/>
        <v>0.11062368570210093</v>
      </c>
      <c r="I54" s="138">
        <f t="shared" ca="1" si="9"/>
        <v>0.22574351340886856</v>
      </c>
      <c r="J54" s="138">
        <f t="shared" ca="1" si="9"/>
        <v>0.16460217150719542</v>
      </c>
      <c r="K54" s="138">
        <f t="shared" ca="1" si="9"/>
        <v>9.4312677182935983E-2</v>
      </c>
      <c r="L54" s="138">
        <f t="shared" ca="1" si="9"/>
        <v>9.280124143771605E-2</v>
      </c>
      <c r="N54" s="138">
        <f t="shared" ca="1" si="12"/>
        <v>3.9919954275038964E-2</v>
      </c>
      <c r="O54" s="138">
        <f t="shared" ca="1" si="12"/>
        <v>2.0825302242442872E-2</v>
      </c>
      <c r="P54" s="138">
        <f t="shared" ca="1" si="12"/>
        <v>2.0313328742967887E-2</v>
      </c>
      <c r="Q54" s="138">
        <f t="shared" ca="1" si="12"/>
        <v>5.1206971409722989E-2</v>
      </c>
      <c r="S54" s="138">
        <f t="shared" ca="1" si="13"/>
        <v>0.18582355913382961</v>
      </c>
      <c r="T54" s="138">
        <f t="shared" ca="1" si="13"/>
        <v>0.14377686926475258</v>
      </c>
      <c r="U54" s="138">
        <f t="shared" ca="1" si="13"/>
        <v>7.3999348439968096E-2</v>
      </c>
      <c r="V54" s="138">
        <f t="shared" ca="1" si="13"/>
        <v>4.1594270027993076E-2</v>
      </c>
    </row>
    <row r="55" spans="1:22" ht="12" customHeight="1" x14ac:dyDescent="0.2">
      <c r="A55" s="117" t="s">
        <v>123</v>
      </c>
      <c r="B55" s="123">
        <v>-12.5</v>
      </c>
      <c r="C55" s="120">
        <v>1.4</v>
      </c>
      <c r="D55" s="114"/>
      <c r="E55" s="130">
        <f t="shared" si="7"/>
        <v>-0.13353139262452263</v>
      </c>
      <c r="F55" s="130">
        <f t="shared" si="7"/>
        <v>1.3902905168991434E-2</v>
      </c>
      <c r="G55" s="130">
        <f t="shared" si="8"/>
        <v>-0.14743429779351405</v>
      </c>
      <c r="I55" s="138">
        <f t="shared" ca="1" si="9"/>
        <v>0.12946875439868258</v>
      </c>
      <c r="J55" s="138">
        <f t="shared" ca="1" si="9"/>
        <v>9.9111754454829601E-2</v>
      </c>
      <c r="K55" s="138">
        <f t="shared" ca="1" si="9"/>
        <v>8.0162720955566036E-2</v>
      </c>
      <c r="L55" s="138">
        <f t="shared" ca="1" si="9"/>
        <v>6.8174993681282256E-2</v>
      </c>
      <c r="N55" s="138">
        <f t="shared" ca="1" si="12"/>
        <v>-1.1515771418719734E-2</v>
      </c>
      <c r="O55" s="138">
        <f t="shared" ca="1" si="12"/>
        <v>-1.9319469895772112E-2</v>
      </c>
      <c r="P55" s="138">
        <f t="shared" ca="1" si="12"/>
        <v>9.5568149401147988E-3</v>
      </c>
      <c r="Q55" s="138">
        <f t="shared" ca="1" si="12"/>
        <v>1.9293184321712543E-2</v>
      </c>
      <c r="S55" s="138">
        <f t="shared" ca="1" si="13"/>
        <v>0.14098452581740231</v>
      </c>
      <c r="T55" s="138">
        <f t="shared" ca="1" si="13"/>
        <v>0.11843122435060169</v>
      </c>
      <c r="U55" s="138">
        <f t="shared" ca="1" si="13"/>
        <v>7.060590601545122E-2</v>
      </c>
      <c r="V55" s="138">
        <f t="shared" ca="1" si="13"/>
        <v>4.8881809359569699E-2</v>
      </c>
    </row>
    <row r="56" spans="1:22" ht="12" customHeight="1" x14ac:dyDescent="0.2">
      <c r="A56" s="117" t="s">
        <v>122</v>
      </c>
      <c r="B56" s="121">
        <v>23.4</v>
      </c>
      <c r="C56" s="120">
        <v>12</v>
      </c>
      <c r="D56" s="114"/>
      <c r="E56" s="130">
        <f t="shared" si="7"/>
        <v>0.21026092548319605</v>
      </c>
      <c r="F56" s="130">
        <f t="shared" si="7"/>
        <v>0.11332868530700327</v>
      </c>
      <c r="G56" s="130">
        <f t="shared" si="8"/>
        <v>9.6932240176192785E-2</v>
      </c>
      <c r="I56" s="138">
        <f t="shared" ca="1" si="9"/>
        <v>0.10524881110972445</v>
      </c>
      <c r="J56" s="138">
        <f t="shared" ca="1" si="9"/>
        <v>0.15079201461705583</v>
      </c>
      <c r="K56" s="138">
        <f t="shared" ca="1" si="9"/>
        <v>7.9597062881638619E-2</v>
      </c>
      <c r="L56" s="138">
        <f t="shared" ca="1" si="9"/>
        <v>7.7994068769402763E-2</v>
      </c>
      <c r="N56" s="138">
        <f t="shared" ca="1" si="12"/>
        <v>2.0040542694926555E-2</v>
      </c>
      <c r="O56" s="138">
        <f t="shared" ca="1" si="12"/>
        <v>1.3851561041559124E-2</v>
      </c>
      <c r="P56" s="138">
        <f t="shared" ca="1" si="12"/>
        <v>1.2327726250567401E-2</v>
      </c>
      <c r="Q56" s="138">
        <f t="shared" ca="1" si="12"/>
        <v>1.3110503519635667E-2</v>
      </c>
      <c r="S56" s="138">
        <f t="shared" ca="1" si="13"/>
        <v>8.5208268414797894E-2</v>
      </c>
      <c r="T56" s="138">
        <f t="shared" ca="1" si="13"/>
        <v>0.1369404535754967</v>
      </c>
      <c r="U56" s="138">
        <f t="shared" ca="1" si="13"/>
        <v>6.7269336631071222E-2</v>
      </c>
      <c r="V56" s="138">
        <f t="shared" ca="1" si="13"/>
        <v>6.4883565249767086E-2</v>
      </c>
    </row>
    <row r="57" spans="1:22" ht="12" customHeight="1" x14ac:dyDescent="0.2">
      <c r="A57" s="117" t="s">
        <v>121</v>
      </c>
      <c r="B57" s="121">
        <v>21.9</v>
      </c>
      <c r="C57" s="120">
        <v>21.8</v>
      </c>
      <c r="D57" s="114"/>
      <c r="E57" s="130">
        <f t="shared" si="7"/>
        <v>0.19803085049913435</v>
      </c>
      <c r="F57" s="130">
        <f t="shared" si="7"/>
        <v>0.19721016928770527</v>
      </c>
      <c r="G57" s="130">
        <f t="shared" si="8"/>
        <v>8.2068121142908623E-4</v>
      </c>
      <c r="I57" s="138">
        <f t="shared" ca="1" si="9"/>
        <v>9.1586794452602593E-2</v>
      </c>
      <c r="J57" s="138">
        <f t="shared" ca="1" si="9"/>
        <v>0.15933960783567563</v>
      </c>
      <c r="K57" s="138">
        <f t="shared" ca="1" si="9"/>
        <v>7.4168755070153108E-2</v>
      </c>
      <c r="L57" s="138">
        <f t="shared" ca="1" si="9"/>
        <v>9.3778847357107092E-2</v>
      </c>
      <c r="N57" s="138">
        <f t="shared" ca="1" si="12"/>
        <v>-1.6560458801964061E-2</v>
      </c>
      <c r="O57" s="138">
        <f t="shared" ca="1" si="12"/>
        <v>1.2641121426292534E-2</v>
      </c>
      <c r="P57" s="138">
        <f t="shared" ca="1" si="12"/>
        <v>-7.4675217968856733E-3</v>
      </c>
      <c r="Q57" s="138">
        <f t="shared" ca="1" si="12"/>
        <v>-9.0167805259960452E-4</v>
      </c>
      <c r="S57" s="138">
        <f t="shared" ca="1" si="13"/>
        <v>0.10814725325456664</v>
      </c>
      <c r="T57" s="138">
        <f t="shared" ca="1" si="13"/>
        <v>0.1466984864093831</v>
      </c>
      <c r="U57" s="138">
        <f t="shared" ca="1" si="13"/>
        <v>8.1636276867038768E-2</v>
      </c>
      <c r="V57" s="138">
        <f t="shared" ca="1" si="13"/>
        <v>9.4680525409706701E-2</v>
      </c>
    </row>
    <row r="58" spans="1:22" ht="12" customHeight="1" x14ac:dyDescent="0.2">
      <c r="A58" s="117" t="s">
        <v>120</v>
      </c>
      <c r="B58" s="121">
        <v>2.8</v>
      </c>
      <c r="C58" s="122">
        <v>-4.4000000000000004</v>
      </c>
      <c r="D58" s="114"/>
      <c r="E58" s="130">
        <f t="shared" si="7"/>
        <v>2.7615167032973391E-2</v>
      </c>
      <c r="F58" s="130">
        <f t="shared" si="7"/>
        <v>-4.4997365930735805E-2</v>
      </c>
      <c r="G58" s="130">
        <f t="shared" si="8"/>
        <v>7.2612532963709203E-2</v>
      </c>
      <c r="I58" s="138">
        <f t="shared" ca="1" si="9"/>
        <v>0.1453023143384346</v>
      </c>
      <c r="J58" s="138">
        <f t="shared" ca="1" si="9"/>
        <v>0.10827849017225621</v>
      </c>
      <c r="K58" s="138">
        <f t="shared" ca="1" si="9"/>
        <v>0.11520283388731793</v>
      </c>
      <c r="L58" s="138">
        <f t="shared" ca="1" si="9"/>
        <v>8.5840233215918438E-2</v>
      </c>
      <c r="N58" s="138">
        <f t="shared" ca="1" si="12"/>
        <v>5.6788484783777023E-2</v>
      </c>
      <c r="O58" s="138">
        <f t="shared" ca="1" si="12"/>
        <v>2.6710968451983591E-2</v>
      </c>
      <c r="P58" s="138">
        <f t="shared" ca="1" si="12"/>
        <v>-8.1372523463031175E-3</v>
      </c>
      <c r="Q58" s="138">
        <f t="shared" ca="1" si="12"/>
        <v>1.0980460775860084E-2</v>
      </c>
      <c r="S58" s="138">
        <f t="shared" ca="1" si="13"/>
        <v>8.8513829554657586E-2</v>
      </c>
      <c r="T58" s="138">
        <f t="shared" ca="1" si="13"/>
        <v>8.1567521720272637E-2</v>
      </c>
      <c r="U58" s="138">
        <f t="shared" ca="1" si="13"/>
        <v>0.12334008623362105</v>
      </c>
      <c r="V58" s="138">
        <f t="shared" ca="1" si="13"/>
        <v>7.4859772440058342E-2</v>
      </c>
    </row>
    <row r="59" spans="1:22" ht="12" customHeight="1" x14ac:dyDescent="0.2">
      <c r="A59" s="117" t="s">
        <v>119</v>
      </c>
      <c r="B59" s="121">
        <v>11</v>
      </c>
      <c r="C59" s="120">
        <v>31.5</v>
      </c>
      <c r="D59" s="114"/>
      <c r="E59" s="130">
        <f t="shared" si="7"/>
        <v>0.10436001532424286</v>
      </c>
      <c r="F59" s="130">
        <f t="shared" si="7"/>
        <v>0.27383666562972786</v>
      </c>
      <c r="G59" s="130">
        <f t="shared" si="8"/>
        <v>-0.169476650305485</v>
      </c>
      <c r="I59" s="138">
        <f t="shared" ca="1" si="9"/>
        <v>0.11000201095211687</v>
      </c>
      <c r="J59" s="138">
        <f t="shared" ca="1" si="9"/>
        <v>8.1347113143004801E-2</v>
      </c>
      <c r="K59" s="138">
        <f t="shared" ca="1" si="9"/>
        <v>0.12297464232510011</v>
      </c>
      <c r="L59" s="138">
        <f t="shared" ca="1" si="9"/>
        <v>8.9990822502958923E-2</v>
      </c>
      <c r="N59" s="138">
        <f t="shared" ca="1" si="12"/>
        <v>-3.201447871011557E-2</v>
      </c>
      <c r="O59" s="138">
        <f t="shared" ca="1" si="12"/>
        <v>-2.9309098749533597E-2</v>
      </c>
      <c r="P59" s="138">
        <f t="shared" ca="1" si="12"/>
        <v>-4.2418982535453618E-3</v>
      </c>
      <c r="Q59" s="138">
        <f t="shared" ca="1" si="12"/>
        <v>3.7725195788007259E-3</v>
      </c>
      <c r="S59" s="138">
        <f t="shared" ca="1" si="13"/>
        <v>0.14201648966223243</v>
      </c>
      <c r="T59" s="138">
        <f t="shared" ca="1" si="13"/>
        <v>0.11065621189253841</v>
      </c>
      <c r="U59" s="138">
        <f t="shared" ca="1" si="13"/>
        <v>0.12721654057864548</v>
      </c>
      <c r="V59" s="138">
        <f t="shared" ca="1" si="13"/>
        <v>8.6218302924158177E-2</v>
      </c>
    </row>
    <row r="60" spans="1:22" ht="12" customHeight="1" x14ac:dyDescent="0.2">
      <c r="A60" s="117" t="s">
        <v>118</v>
      </c>
      <c r="B60" s="121">
        <v>2.4</v>
      </c>
      <c r="C60" s="120">
        <v>18.399999999999999</v>
      </c>
      <c r="D60" s="114"/>
      <c r="E60" s="130">
        <f t="shared" si="7"/>
        <v>2.3716526617316065E-2</v>
      </c>
      <c r="F60" s="130">
        <f t="shared" si="7"/>
        <v>0.16889853646181388</v>
      </c>
      <c r="G60" s="130">
        <f t="shared" si="8"/>
        <v>-0.14518200984449781</v>
      </c>
      <c r="I60" s="138">
        <f t="shared" ca="1" si="9"/>
        <v>5.1897236324844109E-2</v>
      </c>
      <c r="J60" s="138">
        <f t="shared" ca="1" si="9"/>
        <v>0.11279669699137254</v>
      </c>
      <c r="K60" s="138">
        <f t="shared" ca="1" si="9"/>
        <v>0.10595422572310106</v>
      </c>
      <c r="L60" s="138">
        <f t="shared" ca="1" si="9"/>
        <v>9.1040712967501533E-2</v>
      </c>
      <c r="N60" s="138">
        <f t="shared" ca="1" si="12"/>
        <v>-8.0682042395424536E-2</v>
      </c>
      <c r="O60" s="138">
        <f t="shared" ca="1" si="12"/>
        <v>-2.8858641159730348E-2</v>
      </c>
      <c r="P60" s="138">
        <f t="shared" ca="1" si="12"/>
        <v>-2.408905552775123E-2</v>
      </c>
      <c r="Q60" s="138">
        <f t="shared" ca="1" si="12"/>
        <v>-3.2483370931669143E-3</v>
      </c>
      <c r="S60" s="138">
        <f t="shared" ca="1" si="13"/>
        <v>0.13257927872026865</v>
      </c>
      <c r="T60" s="138">
        <f t="shared" ca="1" si="13"/>
        <v>0.1416553381511029</v>
      </c>
      <c r="U60" s="138">
        <f t="shared" ca="1" si="13"/>
        <v>0.13004328125085229</v>
      </c>
      <c r="V60" s="138">
        <f t="shared" ca="1" si="13"/>
        <v>9.4289050060668442E-2</v>
      </c>
    </row>
    <row r="61" spans="1:22" ht="12" customHeight="1" x14ac:dyDescent="0.2">
      <c r="A61" s="117"/>
      <c r="B61" s="121"/>
      <c r="C61" s="120"/>
      <c r="D61" s="114"/>
    </row>
    <row r="62" spans="1:22" ht="12" customHeight="1" x14ac:dyDescent="0.2">
      <c r="A62" s="117" t="s">
        <v>117</v>
      </c>
      <c r="B62" s="119">
        <v>0.2</v>
      </c>
      <c r="C62" s="118">
        <v>0.10199999999999999</v>
      </c>
      <c r="D62" s="114"/>
      <c r="E62" s="127">
        <f>EXP(AVERAGE(E5:E60))-1</f>
        <v>0.20066464093730585</v>
      </c>
      <c r="F62" s="127">
        <f>EXP(AVERAGE(F5:F60))-1</f>
        <v>0.10212964115538492</v>
      </c>
      <c r="G62" s="127"/>
    </row>
    <row r="63" spans="1:22" ht="16.5" customHeight="1" x14ac:dyDescent="0.2">
      <c r="A63" s="117" t="s">
        <v>116</v>
      </c>
      <c r="B63" s="116">
        <v>28105.26</v>
      </c>
      <c r="C63" s="115">
        <v>234.54</v>
      </c>
      <c r="D63" s="114"/>
      <c r="E63" s="129">
        <f>EXP(SUM(E5:E61))*100</f>
        <v>2802956.6295474512</v>
      </c>
      <c r="F63" s="129">
        <f>EXP(SUM(F5:F61))*100</f>
        <v>23175.559550856589</v>
      </c>
      <c r="G63" s="129"/>
      <c r="U63" s="134"/>
    </row>
    <row r="64" spans="1:22" ht="54.95" customHeight="1" x14ac:dyDescent="0.25">
      <c r="A64" s="162" t="s">
        <v>115</v>
      </c>
      <c r="B64" s="162"/>
      <c r="C64" s="162"/>
      <c r="D64" s="162"/>
    </row>
    <row r="65" spans="1:22" ht="14.25" customHeight="1" x14ac:dyDescent="0.25">
      <c r="A65" s="163"/>
      <c r="B65" s="163"/>
      <c r="C65" s="163"/>
      <c r="D65" s="163"/>
      <c r="E65" s="113">
        <f>COUNTIF(E36:E60,"&gt;0")</f>
        <v>20</v>
      </c>
    </row>
    <row r="66" spans="1:22" ht="14.25" customHeight="1" x14ac:dyDescent="0.25">
      <c r="A66" s="144"/>
      <c r="B66" s="144"/>
      <c r="C66" s="155" t="s">
        <v>214</v>
      </c>
      <c r="D66" s="144"/>
    </row>
    <row r="67" spans="1:22" ht="14.25" customHeight="1" x14ac:dyDescent="0.25">
      <c r="A67" s="144"/>
      <c r="B67" s="144"/>
      <c r="C67" s="146" t="s">
        <v>215</v>
      </c>
      <c r="D67" s="144">
        <f>COUNT(E5:E60)</f>
        <v>56</v>
      </c>
      <c r="E67" s="147">
        <f ca="1">COUNTIF(OFFSET(IF($D67&gt;0,E$5,E$60),0,0,$D67,1),"&gt;0")/ABS($D67)</f>
        <v>0.8035714285714286</v>
      </c>
      <c r="F67" s="147">
        <f ca="1">COUNTIF(OFFSET(IF($D67&gt;0,F$5,F$60),0,0,$D67,1),"&gt;0")/ABS($D67)</f>
        <v>0.7857142857142857</v>
      </c>
      <c r="I67" s="147">
        <f ca="1">COUNTIF(OFFSET(IF($D67&gt;0,I$5,I$60),0,0,$D67,1),"&gt;0")/(ABS($D67)-I$3+1)</f>
        <v>0.92592592592592593</v>
      </c>
      <c r="J67" s="147">
        <f t="shared" ref="J67:L68" ca="1" si="14">COUNTIF(OFFSET(IF($D67&gt;0,J$5,J$60),0,0,$D67,1),"&gt;0")/(ABS($D67)-J$3+1)</f>
        <v>0.96153846153846156</v>
      </c>
      <c r="K67" s="147">
        <f t="shared" ca="1" si="14"/>
        <v>1</v>
      </c>
      <c r="L67" s="147">
        <f t="shared" ca="1" si="14"/>
        <v>1</v>
      </c>
      <c r="N67" s="147">
        <f ca="1">COUNTIF(OFFSET(IF($D67&gt;0,N$5,N$60),0,0,$D67,1),"&gt;0")/(ABS($D67)-N$3+1)</f>
        <v>0.70370370370370372</v>
      </c>
      <c r="O67" s="147">
        <f t="shared" ref="O67:Q68" ca="1" si="15">COUNTIF(OFFSET(IF($D67&gt;0,O$5,O$60),0,0,$D67,1),"&gt;0")/(ABS($D67)-O$3+1)</f>
        <v>0.84615384615384615</v>
      </c>
      <c r="P67" s="147">
        <f t="shared" ca="1" si="15"/>
        <v>0.8936170212765957</v>
      </c>
      <c r="Q67" s="147">
        <f t="shared" ca="1" si="15"/>
        <v>0.95238095238095233</v>
      </c>
      <c r="S67" s="147">
        <f ca="1">COUNTIF(OFFSET(IF($D67&gt;0,S$5,S$60),0,0,$D67,1),"&gt;0")/(ABS($D67)-S$3+1)</f>
        <v>0.85185185185185186</v>
      </c>
      <c r="T67" s="147">
        <f t="shared" ref="T67:V68" ca="1" si="16">COUNTIF(OFFSET(IF($D67&gt;0,T$5,T$60),0,0,$D67,1),"&gt;0")/(ABS($D67)-T$3+1)</f>
        <v>0.86538461538461542</v>
      </c>
      <c r="U67" s="147">
        <f t="shared" ca="1" si="16"/>
        <v>0.95744680851063835</v>
      </c>
      <c r="V67" s="147">
        <f t="shared" ca="1" si="16"/>
        <v>1</v>
      </c>
    </row>
    <row r="68" spans="1:22" ht="14.25" customHeight="1" x14ac:dyDescent="0.25">
      <c r="A68" s="144"/>
      <c r="B68" s="144"/>
      <c r="C68" s="146" t="s">
        <v>193</v>
      </c>
      <c r="D68" s="144">
        <v>30</v>
      </c>
      <c r="E68" s="147">
        <f t="shared" ref="E68:F69" ca="1" si="17">COUNTIF(OFFSET(IF($D68&gt;0,E$5,E$60),0,0,$D68,1),"&gt;0")/ABS($D68)</f>
        <v>0.8</v>
      </c>
      <c r="F68" s="147">
        <f t="shared" ca="1" si="17"/>
        <v>0.76666666666666672</v>
      </c>
      <c r="I68" s="147">
        <f ca="1">COUNTIF(OFFSET(IF($D68&gt;0,I$5,I$60),0,0,$D68,1),"&gt;0")/(ABS($D68)-I$3+1)</f>
        <v>0.9285714285714286</v>
      </c>
      <c r="J68" s="147">
        <f t="shared" ca="1" si="14"/>
        <v>0.96153846153846156</v>
      </c>
      <c r="K68" s="147">
        <f t="shared" ca="1" si="14"/>
        <v>1</v>
      </c>
      <c r="L68" s="147">
        <f t="shared" ca="1" si="14"/>
        <v>1</v>
      </c>
      <c r="N68" s="147">
        <f ca="1">COUNTIF(OFFSET(IF($D68&gt;0,N$5,N$60),0,0,$D68,1),"&gt;0")/(ABS($D68)-N$3+1)</f>
        <v>0.8571428571428571</v>
      </c>
      <c r="O68" s="147">
        <f t="shared" ca="1" si="15"/>
        <v>0.96153846153846156</v>
      </c>
      <c r="P68" s="147">
        <f t="shared" ca="1" si="15"/>
        <v>1</v>
      </c>
      <c r="Q68" s="147">
        <f t="shared" ca="1" si="15"/>
        <v>1</v>
      </c>
      <c r="S68" s="147">
        <f ca="1">COUNTIF(OFFSET(IF($D68&gt;0,S$5,S$60),0,0,$D68,1),"&gt;0")/(ABS($D68)-S$3+1)</f>
        <v>0.9285714285714286</v>
      </c>
      <c r="T68" s="147">
        <f t="shared" ca="1" si="16"/>
        <v>0.92307692307692313</v>
      </c>
      <c r="U68" s="147">
        <f t="shared" ca="1" si="16"/>
        <v>1</v>
      </c>
      <c r="V68" s="147">
        <f t="shared" ca="1" si="16"/>
        <v>1</v>
      </c>
    </row>
    <row r="69" spans="1:22" ht="14.25" customHeight="1" x14ac:dyDescent="0.25">
      <c r="A69" s="144"/>
      <c r="B69" s="144"/>
      <c r="C69" s="146" t="s">
        <v>195</v>
      </c>
      <c r="D69" s="144">
        <v>-25</v>
      </c>
      <c r="E69" s="147">
        <f t="shared" ca="1" si="17"/>
        <v>0.8</v>
      </c>
      <c r="F69" s="147">
        <f t="shared" ca="1" si="17"/>
        <v>0.8</v>
      </c>
      <c r="I69" s="147">
        <f t="shared" ref="I69:V69" ca="1" si="18">COUNTIF(OFFSET(IF($D69&gt;0,I$5,I$60),0,0,$D69,1),"&gt;0")/ABS($D69)</f>
        <v>0.92</v>
      </c>
      <c r="J69" s="147">
        <f t="shared" ca="1" si="18"/>
        <v>0.96</v>
      </c>
      <c r="K69" s="147">
        <f t="shared" ca="1" si="18"/>
        <v>1</v>
      </c>
      <c r="L69" s="147">
        <f t="shared" ca="1" si="18"/>
        <v>1</v>
      </c>
      <c r="N69" s="147">
        <f t="shared" ca="1" si="18"/>
        <v>0.52</v>
      </c>
      <c r="O69" s="147">
        <f t="shared" ca="1" si="18"/>
        <v>0.72</v>
      </c>
      <c r="P69" s="147">
        <f t="shared" ca="1" si="18"/>
        <v>0.8</v>
      </c>
      <c r="Q69" s="147">
        <f t="shared" ca="1" si="18"/>
        <v>0.92</v>
      </c>
      <c r="S69" s="147">
        <f t="shared" ca="1" si="18"/>
        <v>0.76</v>
      </c>
      <c r="T69" s="147">
        <f t="shared" ca="1" si="18"/>
        <v>0.8</v>
      </c>
      <c r="U69" s="147">
        <f t="shared" ca="1" si="18"/>
        <v>0.92</v>
      </c>
      <c r="V69" s="147">
        <f t="shared" ca="1" si="18"/>
        <v>1</v>
      </c>
    </row>
    <row r="70" spans="1:22" ht="14.25" customHeight="1" x14ac:dyDescent="0.25">
      <c r="A70" s="144"/>
      <c r="B70" s="144"/>
      <c r="C70" s="144"/>
      <c r="D70" s="144"/>
    </row>
    <row r="71" spans="1:22" ht="14.25" customHeight="1" x14ac:dyDescent="0.25">
      <c r="A71" s="144"/>
      <c r="B71" s="144"/>
      <c r="C71" s="145" t="s">
        <v>191</v>
      </c>
      <c r="D71" s="144"/>
    </row>
    <row r="72" spans="1:22" x14ac:dyDescent="0.25">
      <c r="C72" s="146" t="s">
        <v>192</v>
      </c>
      <c r="D72" s="113">
        <v>20</v>
      </c>
      <c r="E72" s="147">
        <f ca="1">EXP(AVERAGE(OFFSET(IF($D72&gt;0,E$5,E$60),0,0,$D72,1)))-1</f>
        <v>0.26082426657097191</v>
      </c>
      <c r="F72" s="147">
        <f ca="1">EXP(AVERAGE(OFFSET(IF($D72&gt;0,F$5,F$60),0,0,$D72,1)))-1</f>
        <v>7.7997184071341152E-2</v>
      </c>
    </row>
    <row r="73" spans="1:22" x14ac:dyDescent="0.25">
      <c r="C73" s="146" t="s">
        <v>193</v>
      </c>
      <c r="D73" s="113">
        <v>30</v>
      </c>
      <c r="E73" s="147">
        <f t="shared" ref="E73:F76" ca="1" si="19">EXP(AVERAGE(OFFSET(IF($D73&gt;0,E$5,E$60),0,0,$D73,1)))-1</f>
        <v>0.28006287265916008</v>
      </c>
      <c r="F73" s="147">
        <f t="shared" ca="1" si="19"/>
        <v>9.9404345103210057E-2</v>
      </c>
      <c r="G73" s="151" t="s">
        <v>196</v>
      </c>
      <c r="N73" s="147"/>
      <c r="O73" s="147"/>
      <c r="P73" s="147"/>
      <c r="Q73" s="147"/>
    </row>
    <row r="74" spans="1:22" x14ac:dyDescent="0.25">
      <c r="C74" s="146" t="s">
        <v>190</v>
      </c>
      <c r="D74" s="113">
        <v>40</v>
      </c>
      <c r="E74" s="147">
        <f t="shared" ca="1" si="19"/>
        <v>0.24817927275936191</v>
      </c>
      <c r="F74" s="147">
        <f t="shared" ca="1" si="19"/>
        <v>0.10471541267688167</v>
      </c>
      <c r="G74" s="151"/>
    </row>
    <row r="75" spans="1:22" x14ac:dyDescent="0.25">
      <c r="C75" s="146" t="s">
        <v>194</v>
      </c>
      <c r="D75" s="113">
        <v>-15</v>
      </c>
      <c r="E75" s="147">
        <f t="shared" ca="1" si="19"/>
        <v>9.5313597817623386E-2</v>
      </c>
      <c r="F75" s="147">
        <f t="shared" ca="1" si="19"/>
        <v>9.8877330575100064E-2</v>
      </c>
      <c r="G75" s="151"/>
    </row>
    <row r="76" spans="1:22" x14ac:dyDescent="0.25">
      <c r="C76" s="146" t="s">
        <v>195</v>
      </c>
      <c r="D76" s="113">
        <v>-25</v>
      </c>
      <c r="E76" s="147">
        <f t="shared" ca="1" si="19"/>
        <v>9.9884050551349191E-2</v>
      </c>
      <c r="F76" s="147">
        <f t="shared" ca="1" si="19"/>
        <v>9.563912626082316E-2</v>
      </c>
      <c r="G76" s="152" t="s">
        <v>207</v>
      </c>
      <c r="N76" s="147"/>
      <c r="O76" s="147"/>
      <c r="P76" s="147"/>
      <c r="Q76" s="147"/>
    </row>
    <row r="78" spans="1:22" x14ac:dyDescent="0.25">
      <c r="C78" s="145" t="s">
        <v>205</v>
      </c>
      <c r="K78" s="153" t="s">
        <v>179</v>
      </c>
      <c r="L78" s="153" t="s">
        <v>180</v>
      </c>
    </row>
    <row r="79" spans="1:22" x14ac:dyDescent="0.25">
      <c r="C79" s="146" t="s">
        <v>193</v>
      </c>
      <c r="D79" s="113">
        <v>30</v>
      </c>
      <c r="E79" s="147">
        <f ca="1">_xlfn.STDEV.P(OFFSET(IF($D79&gt;0,E$5,E$60),0,0,$D79,1))</f>
        <v>0.30787046647941541</v>
      </c>
      <c r="F79" s="147">
        <f ca="1">_xlfn.STDEV.P(OFFSET(IF($D79&gt;0,F$5,F$60),0,0,$D79,1))</f>
        <v>0.14769921493081553</v>
      </c>
      <c r="I79" s="113" t="s">
        <v>208</v>
      </c>
      <c r="K79" s="154">
        <f t="shared" ref="K79:K85" ca="1" si="20">_xlfn.STDEV.S(K14,K24,K34,K44, K54)</f>
        <v>0.10972655921540482</v>
      </c>
      <c r="L79" s="154">
        <f ca="1">_xlfn.STDEV.S(U14,U24,U34,U44, U54)</f>
        <v>5.1589529440262412E-2</v>
      </c>
    </row>
    <row r="80" spans="1:22" x14ac:dyDescent="0.25">
      <c r="C80" s="146" t="s">
        <v>195</v>
      </c>
      <c r="D80" s="113">
        <v>-25</v>
      </c>
      <c r="E80" s="147">
        <f ca="1">_xlfn.STDEV.P(OFFSET(IF($D80&gt;0,E$5,E$60),0,0,$D80,1))</f>
        <v>0.17307864621364757</v>
      </c>
      <c r="F80" s="147">
        <f ca="1">_xlfn.STDEV.P(OFFSET(IF($D80&gt;0,F$5,F$60),0,0,$D80,1))</f>
        <v>0.17540882013682091</v>
      </c>
      <c r="I80" s="113" t="s">
        <v>209</v>
      </c>
      <c r="K80" s="154">
        <f t="shared" ca="1" si="20"/>
        <v>0.14552639353318225</v>
      </c>
      <c r="L80" s="154">
        <f t="shared" ref="L80:L85" ca="1" si="21">_xlfn.STDEV.S(U15,U25,U35,U45, U55)</f>
        <v>4.306936831018552E-2</v>
      </c>
    </row>
    <row r="81" spans="3:12" x14ac:dyDescent="0.25">
      <c r="I81" s="113" t="s">
        <v>210</v>
      </c>
      <c r="K81" s="154">
        <f t="shared" ca="1" si="20"/>
        <v>0.10501835779343854</v>
      </c>
      <c r="L81" s="154">
        <f t="shared" ca="1" si="21"/>
        <v>3.5038761411743502E-2</v>
      </c>
    </row>
    <row r="82" spans="3:12" x14ac:dyDescent="0.25">
      <c r="C82" s="113" t="s">
        <v>204</v>
      </c>
      <c r="K82" s="154">
        <f t="shared" ca="1" si="20"/>
        <v>0.10012528912801463</v>
      </c>
      <c r="L82" s="154">
        <f t="shared" ca="1" si="21"/>
        <v>5.5549956106987639E-2</v>
      </c>
    </row>
    <row r="83" spans="3:12" x14ac:dyDescent="0.25">
      <c r="C83" s="146" t="s">
        <v>193</v>
      </c>
      <c r="E83" s="128">
        <f ca="1">_xlfn.XLOOKUP($C83,$C$71:$C$77,E$71:E$77)/_xlfn.XLOOKUP($C83,$C$78:$C$81,E$78:E$81)</f>
        <v>0.9096776181936419</v>
      </c>
      <c r="F83" s="128">
        <f ca="1">_xlfn.XLOOKUP($C83,$C$71:$C$77,F$71:F$77)/_xlfn.XLOOKUP($C83,$C$78:$C$81,F$78:F$81)</f>
        <v>0.67301877772182139</v>
      </c>
      <c r="K83" s="154">
        <f t="shared" ca="1" si="20"/>
        <v>0.12305759615642418</v>
      </c>
      <c r="L83" s="154">
        <f t="shared" ca="1" si="21"/>
        <v>8.1164032573394607E-2</v>
      </c>
    </row>
    <row r="84" spans="3:12" x14ac:dyDescent="0.25">
      <c r="C84" s="146" t="s">
        <v>195</v>
      </c>
      <c r="E84" s="128">
        <f ca="1">_xlfn.XLOOKUP($C84,$C$71:$C$77,E$71:E$77)/_xlfn.XLOOKUP($C84,$C$78:$C$81,E$78:E$81)</f>
        <v>0.57710210205857937</v>
      </c>
      <c r="F84" s="128">
        <f ca="1">_xlfn.XLOOKUP($C84,$C$71:$C$77,F$71:F$77)/_xlfn.XLOOKUP($C84,$C$78:$C$81,F$78:F$81)</f>
        <v>0.54523555991211581</v>
      </c>
      <c r="K84" s="154">
        <f t="shared" ca="1" si="20"/>
        <v>0.10169721140988032</v>
      </c>
      <c r="L84" s="154">
        <f t="shared" ca="1" si="21"/>
        <v>7.5636888123393892E-2</v>
      </c>
    </row>
    <row r="85" spans="3:12" x14ac:dyDescent="0.25">
      <c r="E85" s="128"/>
      <c r="F85" s="128"/>
      <c r="K85" s="154">
        <f t="shared" ca="1" si="20"/>
        <v>9.5990795844120735E-2</v>
      </c>
      <c r="L85" s="154">
        <f t="shared" ca="1" si="21"/>
        <v>5.7484938975569021E-2</v>
      </c>
    </row>
    <row r="86" spans="3:12" x14ac:dyDescent="0.25">
      <c r="C86" s="113" t="s">
        <v>206</v>
      </c>
      <c r="K86" s="154"/>
      <c r="L86" s="154"/>
    </row>
    <row r="87" spans="3:12" x14ac:dyDescent="0.25">
      <c r="C87" s="146" t="s">
        <v>193</v>
      </c>
      <c r="D87" s="113">
        <v>30</v>
      </c>
      <c r="E87" s="150">
        <f ca="1">CORREL(OFFSET(IF($D87&gt;0,E$5,E$60),0,0,$D87,1),(OFFSET(IF($D87&gt;0,F$5,F$60),0,0,$D87,1)))</f>
        <v>0.602919199454931</v>
      </c>
      <c r="F87" s="128"/>
      <c r="I87" s="113" t="s">
        <v>211</v>
      </c>
      <c r="K87" s="154">
        <f ca="1">AVERAGE(K79:K85)</f>
        <v>0.11159174329720935</v>
      </c>
      <c r="L87" s="154">
        <f ca="1">AVERAGE(L79:L85)</f>
        <v>5.7076210705933807E-2</v>
      </c>
    </row>
    <row r="88" spans="3:12" x14ac:dyDescent="0.25">
      <c r="C88" s="146" t="s">
        <v>195</v>
      </c>
      <c r="D88" s="113">
        <v>-25</v>
      </c>
      <c r="E88" s="150">
        <f ca="1">CORREL(OFFSET(IF($D88&gt;0,E$5,E$60),0,0,$D88,1),(OFFSET(IF($D88&gt;0,F$5,F$60),0,0,$D88,1)))</f>
        <v>0.58720589356408026</v>
      </c>
      <c r="F88" s="128"/>
      <c r="I88" s="113" t="s">
        <v>32</v>
      </c>
      <c r="K88" s="154">
        <f ca="1">MAX(K79:K85)</f>
        <v>0.14552639353318225</v>
      </c>
      <c r="L88" s="154">
        <f ca="1">MAX(L79:L85)</f>
        <v>8.1164032573394607E-2</v>
      </c>
    </row>
    <row r="89" spans="3:12" x14ac:dyDescent="0.25">
      <c r="I89" s="113" t="s">
        <v>33</v>
      </c>
      <c r="K89" s="154">
        <f ca="1">MIN(K79:K85)</f>
        <v>9.5990795844120735E-2</v>
      </c>
      <c r="L89" s="154">
        <f ca="1">MIN(L79:L85)</f>
        <v>3.5038761411743502E-2</v>
      </c>
    </row>
    <row r="90" spans="3:12" x14ac:dyDescent="0.25">
      <c r="K90" s="154"/>
      <c r="L90" s="154"/>
    </row>
    <row r="91" spans="3:12" x14ac:dyDescent="0.25">
      <c r="I91" s="113" t="s">
        <v>213</v>
      </c>
      <c r="K91" s="154">
        <f ca="1">_xlfn.STDEV.P(K14:K60)</f>
        <v>9.6604914088447819E-2</v>
      </c>
      <c r="L91" s="154">
        <f ca="1">_xlfn.STDEV.P(U14:U60)</f>
        <v>4.9686985390044014E-2</v>
      </c>
    </row>
    <row r="95" spans="3:12" ht="15" x14ac:dyDescent="0.25">
      <c r="J95" s="148" t="s">
        <v>198</v>
      </c>
      <c r="K95" s="126" t="s">
        <v>197</v>
      </c>
    </row>
    <row r="96" spans="3:12" x14ac:dyDescent="0.25">
      <c r="K96" s="146" t="s">
        <v>199</v>
      </c>
    </row>
    <row r="97" spans="11:11" x14ac:dyDescent="0.25">
      <c r="K97" s="146" t="s">
        <v>200</v>
      </c>
    </row>
    <row r="98" spans="11:11" x14ac:dyDescent="0.25">
      <c r="K98" s="149" t="s">
        <v>201</v>
      </c>
    </row>
    <row r="100" spans="11:11" x14ac:dyDescent="0.25">
      <c r="K100" s="113" t="s">
        <v>202</v>
      </c>
    </row>
    <row r="101" spans="11:11" x14ac:dyDescent="0.25">
      <c r="K101" s="113" t="s">
        <v>203</v>
      </c>
    </row>
  </sheetData>
  <mergeCells count="8">
    <mergeCell ref="S2:V2"/>
    <mergeCell ref="A1:D1"/>
    <mergeCell ref="A2:D2"/>
    <mergeCell ref="A64:D64"/>
    <mergeCell ref="A65:D65"/>
    <mergeCell ref="E2:G2"/>
    <mergeCell ref="I2:L2"/>
    <mergeCell ref="N2:Q2"/>
  </mergeCells>
  <hyperlinks>
    <hyperlink ref="H1" r:id="rId1" display="https://berkshirehathaway.com/letters/2020ltr.pdf" xr:uid="{7FA876C2-1751-41A0-85AD-3063C2BEB908}"/>
    <hyperlink ref="K95" r:id="rId2" display="https://www.berkshirehathaway.com/letters/1995.html" xr:uid="{5A40B055-6395-4ABD-811F-77877117377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224D-A701-421C-9FDC-6696CD56C38E}">
  <sheetPr>
    <tabColor theme="9" tint="0.59999389629810485"/>
  </sheetPr>
  <dimension ref="C1:Q323"/>
  <sheetViews>
    <sheetView showGridLines="0" workbookViewId="0">
      <selection activeCell="I33" sqref="I33"/>
    </sheetView>
  </sheetViews>
  <sheetFormatPr defaultRowHeight="22.5" outlineLevelRow="1" x14ac:dyDescent="0.45"/>
  <cols>
    <col min="1" max="1" width="9.140625" style="2"/>
    <col min="2" max="2" width="1.140625" style="2" customWidth="1"/>
    <col min="3" max="3" width="13.7109375" style="2" customWidth="1"/>
    <col min="4" max="4" width="3.42578125" style="2" customWidth="1"/>
    <col min="5" max="5" width="13.7109375" style="2" customWidth="1"/>
    <col min="6" max="6" width="31.85546875" style="2" customWidth="1"/>
    <col min="7" max="7" width="15.7109375" style="2" customWidth="1"/>
    <col min="8" max="8" width="3" style="2" customWidth="1"/>
    <col min="9" max="9" width="15.7109375" style="2" customWidth="1"/>
    <col min="10" max="10" width="9.140625" style="2"/>
    <col min="11" max="11" width="12.5703125" style="2" bestFit="1" customWidth="1"/>
    <col min="12" max="16" width="9.140625" style="2"/>
    <col min="17" max="17" width="11.85546875" style="2" bestFit="1" customWidth="1"/>
    <col min="18" max="16384" width="9.140625" style="2"/>
  </cols>
  <sheetData>
    <row r="1" spans="3:9" ht="7.5" customHeight="1" outlineLevel="1" x14ac:dyDescent="0.45"/>
    <row r="2" spans="3:9" outlineLevel="1" x14ac:dyDescent="0.45">
      <c r="C2" s="2" t="s">
        <v>7</v>
      </c>
      <c r="G2" s="8"/>
    </row>
    <row r="3" spans="3:9" outlineLevel="1" x14ac:dyDescent="0.45">
      <c r="C3" s="13" t="s">
        <v>8</v>
      </c>
      <c r="G3" s="9">
        <f>'nx.in.n'!F3</f>
        <v>0.25892541179416728</v>
      </c>
    </row>
    <row r="4" spans="3:9" outlineLevel="1" x14ac:dyDescent="0.45">
      <c r="C4" s="16" t="s">
        <v>9</v>
      </c>
      <c r="D4" s="15"/>
      <c r="G4" s="14">
        <v>0.15</v>
      </c>
    </row>
    <row r="5" spans="3:9" ht="23.25" outlineLevel="1" thickBot="1" x14ac:dyDescent="0.5">
      <c r="C5" s="13" t="s">
        <v>10</v>
      </c>
      <c r="G5" s="18">
        <f>G3-G4</f>
        <v>0.10892541179416729</v>
      </c>
    </row>
    <row r="6" spans="3:9" ht="23.25" outlineLevel="1" thickTop="1" x14ac:dyDescent="0.45">
      <c r="G6" s="17"/>
    </row>
    <row r="7" spans="3:9" ht="23.25" outlineLevel="1" thickBot="1" x14ac:dyDescent="0.5">
      <c r="C7" s="13" t="s">
        <v>11</v>
      </c>
      <c r="G7" s="19">
        <f>1/G5</f>
        <v>9.1805941655714509</v>
      </c>
      <c r="I7" s="30" t="s">
        <v>12</v>
      </c>
    </row>
    <row r="8" spans="3:9" ht="23.25" outlineLevel="1" thickTop="1" x14ac:dyDescent="0.45">
      <c r="C8" s="13"/>
      <c r="G8" s="17"/>
    </row>
    <row r="9" spans="3:9" ht="23.25" outlineLevel="1" thickBot="1" x14ac:dyDescent="0.5">
      <c r="C9" s="13" t="s">
        <v>13</v>
      </c>
      <c r="G9" s="20">
        <v>1</v>
      </c>
    </row>
    <row r="10" spans="3:9" ht="23.25" outlineLevel="1" thickTop="1" x14ac:dyDescent="0.45">
      <c r="C10" s="13"/>
      <c r="G10" s="17"/>
    </row>
    <row r="11" spans="3:9" ht="23.25" outlineLevel="1" thickBot="1" x14ac:dyDescent="0.5">
      <c r="C11" s="13" t="s">
        <v>14</v>
      </c>
      <c r="G11" s="21">
        <f>G9*(1+G4)/G5</f>
        <v>10.557683290407169</v>
      </c>
    </row>
    <row r="12" spans="3:9" ht="23.25" outlineLevel="1" thickTop="1" x14ac:dyDescent="0.45">
      <c r="C12" s="25" t="s">
        <v>15</v>
      </c>
      <c r="G12" s="17"/>
    </row>
    <row r="13" spans="3:9" outlineLevel="1" x14ac:dyDescent="0.45">
      <c r="C13" s="25"/>
      <c r="D13" s="2" t="s">
        <v>16</v>
      </c>
      <c r="G13" s="17"/>
    </row>
    <row r="14" spans="3:9" outlineLevel="1" x14ac:dyDescent="0.45">
      <c r="C14" s="25" t="s">
        <v>17</v>
      </c>
      <c r="G14" s="17"/>
    </row>
    <row r="15" spans="3:9" outlineLevel="1" x14ac:dyDescent="0.45">
      <c r="C15" s="25"/>
      <c r="D15" s="2" t="s">
        <v>16</v>
      </c>
      <c r="G15" s="17"/>
    </row>
    <row r="16" spans="3:9" outlineLevel="1" x14ac:dyDescent="0.45">
      <c r="C16" s="26" t="s">
        <v>18</v>
      </c>
      <c r="G16" s="17"/>
    </row>
    <row r="17" spans="3:13" ht="23.25" outlineLevel="1" thickBot="1" x14ac:dyDescent="0.5">
      <c r="C17" s="22"/>
      <c r="D17" s="22"/>
      <c r="E17" s="22"/>
      <c r="F17" s="22"/>
      <c r="G17" s="23"/>
      <c r="H17" s="22"/>
      <c r="I17" s="22"/>
      <c r="J17" s="22"/>
      <c r="K17" s="22"/>
      <c r="L17" s="22"/>
      <c r="M17" s="22"/>
    </row>
    <row r="18" spans="3:13" ht="7.5" customHeight="1" x14ac:dyDescent="0.45">
      <c r="G18" s="9"/>
    </row>
    <row r="19" spans="3:13" hidden="1" outlineLevel="1" x14ac:dyDescent="0.45">
      <c r="C19" s="2" t="s">
        <v>19</v>
      </c>
      <c r="G19" s="5"/>
    </row>
    <row r="20" spans="3:13" ht="23.25" hidden="1" outlineLevel="1" thickBot="1" x14ac:dyDescent="0.5">
      <c r="C20" s="13" t="s">
        <v>20</v>
      </c>
      <c r="G20" s="20">
        <f>G11</f>
        <v>10.557683290407169</v>
      </c>
    </row>
    <row r="21" spans="3:13" s="4" customFormat="1" ht="25.5" hidden="1" outlineLevel="1" thickTop="1" x14ac:dyDescent="0.45">
      <c r="C21" s="2"/>
      <c r="D21" s="2"/>
      <c r="E21" s="2"/>
      <c r="F21" s="3"/>
    </row>
    <row r="22" spans="3:13" ht="23.25" hidden="1" outlineLevel="1" thickBot="1" x14ac:dyDescent="0.5">
      <c r="C22" s="13" t="s">
        <v>21</v>
      </c>
      <c r="F22" s="7"/>
      <c r="G22" s="28">
        <f>(G9*(1+G4)/G20+G4)</f>
        <v>0.25892541179416728</v>
      </c>
      <c r="J22" s="25" t="s">
        <v>22</v>
      </c>
    </row>
    <row r="23" spans="3:13" ht="23.25" hidden="1" outlineLevel="1" thickTop="1" x14ac:dyDescent="0.45">
      <c r="C23" s="25" t="s">
        <v>23</v>
      </c>
      <c r="E23" s="6"/>
      <c r="F23" s="6"/>
    </row>
    <row r="24" spans="3:13" hidden="1" outlineLevel="1" x14ac:dyDescent="0.45">
      <c r="C24" s="25"/>
      <c r="D24" s="2" t="s">
        <v>16</v>
      </c>
      <c r="E24" s="6"/>
      <c r="F24" s="6"/>
    </row>
    <row r="25" spans="3:13" hidden="1" outlineLevel="1" x14ac:dyDescent="0.45">
      <c r="C25" s="26" t="s">
        <v>24</v>
      </c>
      <c r="E25" s="6"/>
      <c r="F25" s="6"/>
    </row>
    <row r="26" spans="3:13" hidden="1" outlineLevel="1" x14ac:dyDescent="0.45">
      <c r="C26" s="26"/>
      <c r="E26" s="6"/>
      <c r="F26" s="6"/>
    </row>
    <row r="27" spans="3:13" hidden="1" outlineLevel="1" x14ac:dyDescent="0.45">
      <c r="C27" s="13" t="s">
        <v>10</v>
      </c>
      <c r="E27" s="6"/>
      <c r="F27" s="6"/>
      <c r="G27" s="29">
        <f>G22-G4</f>
        <v>0.10892541179416729</v>
      </c>
    </row>
    <row r="28" spans="3:13" hidden="1" outlineLevel="1" x14ac:dyDescent="0.45">
      <c r="C28" s="25" t="s">
        <v>25</v>
      </c>
      <c r="E28" s="6"/>
      <c r="F28" s="6"/>
    </row>
    <row r="29" spans="3:13" ht="23.25" hidden="1" outlineLevel="1" thickBot="1" x14ac:dyDescent="0.5"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</row>
    <row r="30" spans="3:13" collapsed="1" x14ac:dyDescent="0.45">
      <c r="G30" s="9"/>
    </row>
    <row r="31" spans="3:13" hidden="1" outlineLevel="1" x14ac:dyDescent="0.45">
      <c r="C31" s="2" t="s">
        <v>26</v>
      </c>
      <c r="G31" s="5"/>
    </row>
    <row r="32" spans="3:13" s="4" customFormat="1" ht="24.75" hidden="1" outlineLevel="1" x14ac:dyDescent="0.45">
      <c r="C32" s="2"/>
      <c r="D32" s="2"/>
      <c r="E32" s="2"/>
      <c r="F32" s="3"/>
      <c r="G32" s="31" t="s">
        <v>27</v>
      </c>
      <c r="I32" s="31" t="s">
        <v>28</v>
      </c>
    </row>
    <row r="33" spans="3:17" hidden="1" outlineLevel="1" x14ac:dyDescent="0.45">
      <c r="C33" s="13" t="s">
        <v>8</v>
      </c>
      <c r="G33" s="9">
        <f>(G39*(1+G34)/G37+G34)</f>
        <v>0.16322499999999998</v>
      </c>
      <c r="I33" s="12">
        <f>G33</f>
        <v>0.16322499999999998</v>
      </c>
    </row>
    <row r="34" spans="3:17" hidden="1" outlineLevel="1" x14ac:dyDescent="0.45">
      <c r="C34" s="16" t="s">
        <v>9</v>
      </c>
      <c r="D34" s="15"/>
      <c r="G34" s="14">
        <v>0.15</v>
      </c>
      <c r="I34" s="14">
        <v>0.151</v>
      </c>
    </row>
    <row r="35" spans="3:17" ht="23.25" hidden="1" outlineLevel="1" thickBot="1" x14ac:dyDescent="0.5">
      <c r="C35" s="13" t="s">
        <v>10</v>
      </c>
      <c r="G35" s="18">
        <f>G33-G34</f>
        <v>1.3224999999999987E-2</v>
      </c>
      <c r="I35" s="18">
        <f>I33-I34</f>
        <v>1.2224999999999986E-2</v>
      </c>
      <c r="K35" s="29"/>
    </row>
    <row r="36" spans="3:17" s="4" customFormat="1" ht="25.5" hidden="1" outlineLevel="1" thickTop="1" x14ac:dyDescent="0.45">
      <c r="C36" s="2"/>
      <c r="D36" s="2"/>
      <c r="E36" s="2"/>
      <c r="F36" s="3"/>
    </row>
    <row r="37" spans="3:17" ht="23.25" hidden="1" outlineLevel="1" thickBot="1" x14ac:dyDescent="0.5">
      <c r="C37" s="13" t="s">
        <v>20</v>
      </c>
      <c r="G37" s="20">
        <v>100</v>
      </c>
      <c r="I37" s="32">
        <f>I39*(1+I34)/I35</f>
        <v>110.15705521472405</v>
      </c>
      <c r="K37" s="33" t="str">
        <f>_xlfn.CONCAT("The ",TEXT(I39-G39,"$#,##0.00")," surpise may be amplified if")</f>
        <v>The $0.02 surpise may be amplified if</v>
      </c>
    </row>
    <row r="38" spans="3:17" s="4" customFormat="1" ht="25.5" hidden="1" outlineLevel="1" thickTop="1" x14ac:dyDescent="0.45">
      <c r="C38" s="2"/>
      <c r="D38" s="2"/>
      <c r="E38" s="2"/>
      <c r="F38" s="3"/>
      <c r="K38" s="33" t="str">
        <f>_xlfn.CONCAT("the growth rate is nudged in the direction")</f>
        <v>the growth rate is nudged in the direction</v>
      </c>
    </row>
    <row r="39" spans="3:17" ht="23.25" hidden="1" outlineLevel="1" thickBot="1" x14ac:dyDescent="0.5">
      <c r="C39" s="13" t="s">
        <v>29</v>
      </c>
      <c r="G39" s="20">
        <v>1.1499999999999999</v>
      </c>
      <c r="H39" s="4"/>
      <c r="I39" s="20">
        <v>1.17</v>
      </c>
      <c r="K39" s="33" t="str">
        <f>_xlfn.CONCAT("of the surprise (",TEXT((I37-G37)/G37,"#0.0%")," in this example).")</f>
        <v>of the surprise (10.2% in this example).</v>
      </c>
    </row>
    <row r="40" spans="3:17" s="4" customFormat="1" ht="25.5" hidden="1" outlineLevel="1" thickTop="1" x14ac:dyDescent="0.45">
      <c r="C40" s="2"/>
      <c r="D40" s="2"/>
      <c r="E40" s="2"/>
      <c r="F40" s="3"/>
      <c r="K40" s="24"/>
    </row>
    <row r="41" spans="3:17" ht="23.25" hidden="1" outlineLevel="1" thickBot="1" x14ac:dyDescent="0.5">
      <c r="C41" s="22"/>
      <c r="D41" s="22"/>
      <c r="E41" s="22"/>
      <c r="F41" s="22"/>
      <c r="G41" s="23"/>
      <c r="H41" s="23"/>
      <c r="I41" s="22"/>
      <c r="J41" s="22"/>
      <c r="K41" s="22"/>
      <c r="L41" s="22"/>
      <c r="M41" s="22"/>
    </row>
    <row r="42" spans="3:17" collapsed="1" x14ac:dyDescent="0.45">
      <c r="C42" s="1"/>
      <c r="E42" s="6"/>
      <c r="F42" s="6"/>
    </row>
    <row r="43" spans="3:17" x14ac:dyDescent="0.45">
      <c r="C43" s="2" t="s">
        <v>30</v>
      </c>
      <c r="E43" s="6"/>
      <c r="F43" s="6"/>
    </row>
    <row r="44" spans="3:17" x14ac:dyDescent="0.45">
      <c r="C44" s="27" t="s">
        <v>31</v>
      </c>
      <c r="E44" s="6"/>
      <c r="F44" s="6"/>
    </row>
    <row r="45" spans="3:17" x14ac:dyDescent="0.45">
      <c r="C45" s="1"/>
      <c r="E45" s="6"/>
      <c r="F45" s="6"/>
      <c r="Q45" s="10"/>
    </row>
    <row r="46" spans="3:17" x14ac:dyDescent="0.45">
      <c r="C46" s="1"/>
      <c r="E46" s="6"/>
      <c r="F46" s="6"/>
    </row>
    <row r="47" spans="3:17" x14ac:dyDescent="0.45">
      <c r="C47" s="1"/>
      <c r="E47" s="6"/>
      <c r="F47" s="6"/>
    </row>
    <row r="48" spans="3:17" x14ac:dyDescent="0.45">
      <c r="C48" s="1"/>
      <c r="E48" s="6"/>
      <c r="F48" s="6"/>
    </row>
    <row r="49" spans="3:6" x14ac:dyDescent="0.45">
      <c r="C49" s="1"/>
      <c r="E49" s="6"/>
      <c r="F49" s="6"/>
    </row>
    <row r="50" spans="3:6" x14ac:dyDescent="0.45">
      <c r="C50" s="1"/>
      <c r="E50" s="6"/>
      <c r="F50" s="6"/>
    </row>
    <row r="51" spans="3:6" x14ac:dyDescent="0.45">
      <c r="C51" s="1"/>
      <c r="E51" s="6"/>
      <c r="F51" s="6"/>
    </row>
    <row r="52" spans="3:6" x14ac:dyDescent="0.45">
      <c r="C52" s="1"/>
      <c r="E52" s="6"/>
      <c r="F52" s="6"/>
    </row>
    <row r="53" spans="3:6" x14ac:dyDescent="0.45">
      <c r="C53" s="1"/>
      <c r="E53" s="6"/>
      <c r="F53" s="6"/>
    </row>
    <row r="54" spans="3:6" x14ac:dyDescent="0.45">
      <c r="C54" s="1"/>
      <c r="E54" s="6"/>
      <c r="F54" s="6"/>
    </row>
    <row r="55" spans="3:6" x14ac:dyDescent="0.45">
      <c r="C55" s="1"/>
      <c r="E55" s="6"/>
      <c r="F55" s="6"/>
    </row>
    <row r="56" spans="3:6" x14ac:dyDescent="0.45">
      <c r="C56" s="1"/>
      <c r="E56" s="6"/>
      <c r="F56" s="6"/>
    </row>
    <row r="57" spans="3:6" x14ac:dyDescent="0.45">
      <c r="C57" s="1"/>
      <c r="E57" s="6"/>
      <c r="F57" s="6"/>
    </row>
    <row r="58" spans="3:6" x14ac:dyDescent="0.45">
      <c r="C58" s="1"/>
      <c r="E58" s="6"/>
      <c r="F58" s="6"/>
    </row>
    <row r="59" spans="3:6" x14ac:dyDescent="0.45">
      <c r="C59" s="1"/>
      <c r="E59" s="6"/>
      <c r="F59" s="6"/>
    </row>
    <row r="60" spans="3:6" x14ac:dyDescent="0.45">
      <c r="C60" s="1"/>
      <c r="E60" s="6"/>
      <c r="F60" s="6"/>
    </row>
    <row r="61" spans="3:6" x14ac:dyDescent="0.45">
      <c r="C61" s="1"/>
      <c r="E61" s="6"/>
      <c r="F61" s="6"/>
    </row>
    <row r="62" spans="3:6" x14ac:dyDescent="0.45">
      <c r="C62" s="1"/>
      <c r="E62" s="6"/>
      <c r="F62" s="6"/>
    </row>
    <row r="63" spans="3:6" x14ac:dyDescent="0.45">
      <c r="C63" s="1"/>
      <c r="E63" s="6"/>
      <c r="F63" s="6"/>
    </row>
    <row r="64" spans="3:6" x14ac:dyDescent="0.45">
      <c r="C64" s="1"/>
      <c r="E64" s="6"/>
      <c r="F64" s="6"/>
    </row>
    <row r="65" spans="3:6" x14ac:dyDescent="0.45">
      <c r="C65" s="1"/>
      <c r="E65" s="6"/>
      <c r="F65" s="6"/>
    </row>
    <row r="66" spans="3:6" x14ac:dyDescent="0.45">
      <c r="C66" s="1"/>
      <c r="E66" s="6"/>
      <c r="F66" s="6"/>
    </row>
    <row r="67" spans="3:6" x14ac:dyDescent="0.45">
      <c r="C67" s="1"/>
      <c r="E67" s="6"/>
      <c r="F67" s="6"/>
    </row>
    <row r="68" spans="3:6" x14ac:dyDescent="0.45">
      <c r="C68" s="1"/>
      <c r="E68" s="6"/>
      <c r="F68" s="6"/>
    </row>
    <row r="69" spans="3:6" x14ac:dyDescent="0.45">
      <c r="C69" s="1"/>
      <c r="E69" s="6"/>
      <c r="F69" s="6"/>
    </row>
    <row r="70" spans="3:6" x14ac:dyDescent="0.45">
      <c r="C70" s="1"/>
      <c r="E70" s="6"/>
      <c r="F70" s="6"/>
    </row>
    <row r="71" spans="3:6" x14ac:dyDescent="0.45">
      <c r="C71" s="1"/>
      <c r="E71" s="6"/>
      <c r="F71" s="6"/>
    </row>
    <row r="72" spans="3:6" x14ac:dyDescent="0.45">
      <c r="C72" s="1"/>
      <c r="E72" s="6"/>
      <c r="F72" s="6"/>
    </row>
    <row r="73" spans="3:6" x14ac:dyDescent="0.45">
      <c r="C73" s="1"/>
      <c r="E73" s="6"/>
      <c r="F73" s="6"/>
    </row>
    <row r="74" spans="3:6" x14ac:dyDescent="0.45">
      <c r="C74" s="1"/>
      <c r="E74" s="6"/>
      <c r="F74" s="6"/>
    </row>
    <row r="75" spans="3:6" x14ac:dyDescent="0.45">
      <c r="C75" s="1"/>
      <c r="E75" s="6"/>
      <c r="F75" s="6"/>
    </row>
    <row r="76" spans="3:6" x14ac:dyDescent="0.45">
      <c r="C76" s="1"/>
      <c r="E76" s="6"/>
      <c r="F76" s="6"/>
    </row>
    <row r="77" spans="3:6" x14ac:dyDescent="0.45">
      <c r="C77" s="1"/>
      <c r="E77" s="6"/>
      <c r="F77" s="6"/>
    </row>
    <row r="78" spans="3:6" x14ac:dyDescent="0.45">
      <c r="C78" s="1"/>
      <c r="E78" s="6"/>
      <c r="F78" s="6"/>
    </row>
    <row r="79" spans="3:6" x14ac:dyDescent="0.45">
      <c r="C79" s="1"/>
      <c r="E79" s="6"/>
      <c r="F79" s="6"/>
    </row>
    <row r="80" spans="3:6" x14ac:dyDescent="0.45">
      <c r="C80" s="1"/>
      <c r="E80" s="6"/>
      <c r="F80" s="6"/>
    </row>
    <row r="81" spans="3:6" x14ac:dyDescent="0.45">
      <c r="C81" s="1"/>
      <c r="E81" s="6"/>
      <c r="F81" s="6"/>
    </row>
    <row r="82" spans="3:6" x14ac:dyDescent="0.45">
      <c r="C82" s="1"/>
      <c r="E82" s="6"/>
      <c r="F82" s="6"/>
    </row>
    <row r="83" spans="3:6" x14ac:dyDescent="0.45">
      <c r="C83" s="1"/>
      <c r="E83" s="6"/>
      <c r="F83" s="6"/>
    </row>
    <row r="84" spans="3:6" x14ac:dyDescent="0.45">
      <c r="C84" s="1"/>
      <c r="E84" s="6"/>
      <c r="F84" s="6"/>
    </row>
    <row r="85" spans="3:6" x14ac:dyDescent="0.45">
      <c r="C85" s="1"/>
      <c r="E85" s="6"/>
      <c r="F85" s="6"/>
    </row>
    <row r="86" spans="3:6" x14ac:dyDescent="0.45">
      <c r="C86" s="1"/>
      <c r="E86" s="6"/>
      <c r="F86" s="6"/>
    </row>
    <row r="87" spans="3:6" x14ac:dyDescent="0.45">
      <c r="C87" s="1"/>
      <c r="E87" s="6"/>
      <c r="F87" s="6"/>
    </row>
    <row r="88" spans="3:6" x14ac:dyDescent="0.45">
      <c r="C88" s="1"/>
      <c r="E88" s="6"/>
      <c r="F88" s="6"/>
    </row>
    <row r="89" spans="3:6" x14ac:dyDescent="0.45">
      <c r="C89" s="1"/>
      <c r="E89" s="6"/>
      <c r="F89" s="6"/>
    </row>
    <row r="90" spans="3:6" x14ac:dyDescent="0.45">
      <c r="C90" s="1"/>
      <c r="E90" s="6"/>
      <c r="F90" s="6"/>
    </row>
    <row r="91" spans="3:6" x14ac:dyDescent="0.45">
      <c r="C91" s="1"/>
      <c r="E91" s="6"/>
      <c r="F91" s="6"/>
    </row>
    <row r="92" spans="3:6" x14ac:dyDescent="0.45">
      <c r="C92" s="1"/>
      <c r="E92" s="6"/>
      <c r="F92" s="6"/>
    </row>
    <row r="93" spans="3:6" x14ac:dyDescent="0.45">
      <c r="C93" s="1"/>
      <c r="E93" s="6"/>
      <c r="F93" s="6"/>
    </row>
    <row r="94" spans="3:6" x14ac:dyDescent="0.45">
      <c r="C94" s="1"/>
      <c r="E94" s="6"/>
      <c r="F94" s="6"/>
    </row>
    <row r="95" spans="3:6" x14ac:dyDescent="0.45">
      <c r="C95" s="1"/>
      <c r="E95" s="6"/>
      <c r="F95" s="6"/>
    </row>
    <row r="96" spans="3:6" x14ac:dyDescent="0.45">
      <c r="C96" s="1"/>
      <c r="E96" s="6"/>
      <c r="F96" s="6"/>
    </row>
    <row r="97" spans="3:6" x14ac:dyDescent="0.45">
      <c r="C97" s="1"/>
      <c r="E97" s="6"/>
      <c r="F97" s="6"/>
    </row>
    <row r="98" spans="3:6" x14ac:dyDescent="0.45">
      <c r="C98" s="1"/>
      <c r="E98" s="6"/>
      <c r="F98" s="6"/>
    </row>
    <row r="99" spans="3:6" x14ac:dyDescent="0.45">
      <c r="C99" s="1"/>
      <c r="E99" s="6"/>
      <c r="F99" s="6"/>
    </row>
    <row r="100" spans="3:6" x14ac:dyDescent="0.45">
      <c r="C100" s="1"/>
      <c r="E100" s="6"/>
      <c r="F100" s="6"/>
    </row>
    <row r="101" spans="3:6" x14ac:dyDescent="0.45">
      <c r="C101" s="1"/>
      <c r="E101" s="6"/>
      <c r="F101" s="6"/>
    </row>
    <row r="102" spans="3:6" x14ac:dyDescent="0.45">
      <c r="C102" s="1"/>
      <c r="E102" s="6"/>
      <c r="F102" s="6"/>
    </row>
    <row r="103" spans="3:6" x14ac:dyDescent="0.45">
      <c r="C103" s="1"/>
      <c r="E103" s="6"/>
      <c r="F103" s="6"/>
    </row>
    <row r="104" spans="3:6" x14ac:dyDescent="0.45">
      <c r="C104" s="1"/>
      <c r="E104" s="6"/>
      <c r="F104" s="6"/>
    </row>
    <row r="105" spans="3:6" x14ac:dyDescent="0.45">
      <c r="C105" s="1"/>
      <c r="E105" s="6"/>
      <c r="F105" s="6"/>
    </row>
    <row r="106" spans="3:6" x14ac:dyDescent="0.45">
      <c r="C106" s="1"/>
      <c r="E106" s="6"/>
      <c r="F106" s="6"/>
    </row>
    <row r="107" spans="3:6" x14ac:dyDescent="0.45">
      <c r="C107" s="1"/>
      <c r="E107" s="6"/>
      <c r="F107" s="6"/>
    </row>
    <row r="108" spans="3:6" x14ac:dyDescent="0.45">
      <c r="C108" s="1"/>
      <c r="E108" s="6"/>
      <c r="F108" s="6"/>
    </row>
    <row r="109" spans="3:6" x14ac:dyDescent="0.45">
      <c r="C109" s="1"/>
      <c r="E109" s="6"/>
      <c r="F109" s="6"/>
    </row>
    <row r="110" spans="3:6" x14ac:dyDescent="0.45">
      <c r="C110" s="1"/>
      <c r="E110" s="6"/>
      <c r="F110" s="6"/>
    </row>
    <row r="111" spans="3:6" x14ac:dyDescent="0.45">
      <c r="C111" s="1"/>
      <c r="E111" s="6"/>
      <c r="F111" s="6"/>
    </row>
    <row r="112" spans="3:6" x14ac:dyDescent="0.45">
      <c r="C112" s="1"/>
      <c r="E112" s="6"/>
      <c r="F112" s="6"/>
    </row>
    <row r="113" spans="3:6" x14ac:dyDescent="0.45">
      <c r="C113" s="1"/>
      <c r="E113" s="6"/>
      <c r="F113" s="6"/>
    </row>
    <row r="114" spans="3:6" x14ac:dyDescent="0.45">
      <c r="C114" s="1"/>
      <c r="E114" s="6"/>
      <c r="F114" s="6"/>
    </row>
    <row r="115" spans="3:6" x14ac:dyDescent="0.45">
      <c r="C115" s="1"/>
      <c r="E115" s="6"/>
      <c r="F115" s="6"/>
    </row>
    <row r="116" spans="3:6" x14ac:dyDescent="0.45">
      <c r="C116" s="1"/>
      <c r="E116" s="6"/>
      <c r="F116" s="6"/>
    </row>
    <row r="117" spans="3:6" x14ac:dyDescent="0.45">
      <c r="C117" s="1"/>
      <c r="E117" s="6"/>
      <c r="F117" s="6"/>
    </row>
    <row r="118" spans="3:6" x14ac:dyDescent="0.45">
      <c r="C118" s="1"/>
      <c r="E118" s="6"/>
      <c r="F118" s="6"/>
    </row>
    <row r="119" spans="3:6" x14ac:dyDescent="0.45">
      <c r="C119" s="1"/>
      <c r="E119" s="6"/>
      <c r="F119" s="6"/>
    </row>
    <row r="120" spans="3:6" x14ac:dyDescent="0.45">
      <c r="C120" s="1"/>
      <c r="E120" s="6"/>
      <c r="F120" s="6"/>
    </row>
    <row r="121" spans="3:6" x14ac:dyDescent="0.45">
      <c r="C121" s="1"/>
      <c r="E121" s="6"/>
      <c r="F121" s="6"/>
    </row>
    <row r="122" spans="3:6" x14ac:dyDescent="0.45">
      <c r="C122" s="1"/>
      <c r="E122" s="6"/>
      <c r="F122" s="6"/>
    </row>
    <row r="123" spans="3:6" x14ac:dyDescent="0.45">
      <c r="C123" s="1"/>
      <c r="E123" s="6"/>
      <c r="F123" s="6"/>
    </row>
    <row r="124" spans="3:6" x14ac:dyDescent="0.45">
      <c r="C124" s="1"/>
      <c r="E124" s="6"/>
      <c r="F124" s="6"/>
    </row>
    <row r="125" spans="3:6" x14ac:dyDescent="0.45">
      <c r="C125" s="1"/>
      <c r="E125" s="6"/>
      <c r="F125" s="6"/>
    </row>
    <row r="126" spans="3:6" x14ac:dyDescent="0.45">
      <c r="C126" s="1"/>
      <c r="E126" s="6"/>
      <c r="F126" s="6"/>
    </row>
    <row r="127" spans="3:6" x14ac:dyDescent="0.45">
      <c r="C127" s="1"/>
      <c r="E127" s="6"/>
      <c r="F127" s="6"/>
    </row>
    <row r="128" spans="3:6" x14ac:dyDescent="0.45">
      <c r="C128" s="1"/>
      <c r="E128" s="6"/>
      <c r="F128" s="6"/>
    </row>
    <row r="129" spans="3:6" x14ac:dyDescent="0.45">
      <c r="C129" s="1"/>
      <c r="E129" s="6"/>
      <c r="F129" s="6"/>
    </row>
    <row r="130" spans="3:6" x14ac:dyDescent="0.45">
      <c r="C130" s="1"/>
      <c r="E130" s="6"/>
      <c r="F130" s="6"/>
    </row>
    <row r="131" spans="3:6" x14ac:dyDescent="0.45">
      <c r="C131" s="1"/>
      <c r="E131" s="6"/>
      <c r="F131" s="6"/>
    </row>
    <row r="132" spans="3:6" x14ac:dyDescent="0.45">
      <c r="C132" s="1"/>
      <c r="E132" s="6"/>
      <c r="F132" s="6"/>
    </row>
    <row r="133" spans="3:6" x14ac:dyDescent="0.45">
      <c r="C133" s="1"/>
      <c r="E133" s="6"/>
      <c r="F133" s="6"/>
    </row>
    <row r="134" spans="3:6" x14ac:dyDescent="0.45">
      <c r="C134" s="1"/>
      <c r="E134" s="6"/>
      <c r="F134" s="6"/>
    </row>
    <row r="135" spans="3:6" x14ac:dyDescent="0.45">
      <c r="C135" s="1"/>
      <c r="E135" s="6"/>
      <c r="F135" s="6"/>
    </row>
    <row r="136" spans="3:6" x14ac:dyDescent="0.45">
      <c r="C136" s="1"/>
      <c r="E136" s="6"/>
      <c r="F136" s="6"/>
    </row>
    <row r="137" spans="3:6" x14ac:dyDescent="0.45">
      <c r="C137" s="1"/>
      <c r="E137" s="6"/>
      <c r="F137" s="6"/>
    </row>
    <row r="138" spans="3:6" x14ac:dyDescent="0.45">
      <c r="C138" s="1"/>
      <c r="E138" s="6"/>
      <c r="F138" s="6"/>
    </row>
    <row r="139" spans="3:6" x14ac:dyDescent="0.45">
      <c r="C139" s="1"/>
      <c r="E139" s="6"/>
      <c r="F139" s="6"/>
    </row>
    <row r="140" spans="3:6" x14ac:dyDescent="0.45">
      <c r="C140" s="1"/>
      <c r="E140" s="6"/>
      <c r="F140" s="6"/>
    </row>
    <row r="141" spans="3:6" x14ac:dyDescent="0.45">
      <c r="C141" s="1"/>
      <c r="E141" s="6"/>
      <c r="F141" s="6"/>
    </row>
    <row r="142" spans="3:6" x14ac:dyDescent="0.45">
      <c r="C142" s="1"/>
      <c r="E142" s="6"/>
      <c r="F142" s="6"/>
    </row>
    <row r="143" spans="3:6" x14ac:dyDescent="0.45">
      <c r="C143" s="1"/>
      <c r="E143" s="6"/>
      <c r="F143" s="6"/>
    </row>
    <row r="144" spans="3:6" x14ac:dyDescent="0.45">
      <c r="C144" s="1"/>
      <c r="E144" s="6"/>
      <c r="F144" s="6"/>
    </row>
    <row r="145" spans="3:6" x14ac:dyDescent="0.45">
      <c r="C145" s="1"/>
      <c r="E145" s="6"/>
      <c r="F145" s="6"/>
    </row>
    <row r="146" spans="3:6" x14ac:dyDescent="0.45">
      <c r="C146" s="1"/>
      <c r="E146" s="6"/>
      <c r="F146" s="6"/>
    </row>
    <row r="147" spans="3:6" x14ac:dyDescent="0.45">
      <c r="C147" s="1"/>
      <c r="E147" s="6"/>
      <c r="F147" s="6"/>
    </row>
    <row r="148" spans="3:6" x14ac:dyDescent="0.45">
      <c r="C148" s="1"/>
      <c r="E148" s="6"/>
      <c r="F148" s="6"/>
    </row>
    <row r="149" spans="3:6" x14ac:dyDescent="0.45">
      <c r="C149" s="1"/>
      <c r="E149" s="6"/>
      <c r="F149" s="6"/>
    </row>
    <row r="150" spans="3:6" x14ac:dyDescent="0.45">
      <c r="C150" s="1"/>
      <c r="E150" s="6"/>
      <c r="F150" s="6"/>
    </row>
    <row r="151" spans="3:6" x14ac:dyDescent="0.45">
      <c r="C151" s="1"/>
      <c r="E151" s="6"/>
      <c r="F151" s="6"/>
    </row>
    <row r="152" spans="3:6" x14ac:dyDescent="0.45">
      <c r="C152" s="1"/>
      <c r="E152" s="6"/>
      <c r="F152" s="6"/>
    </row>
    <row r="153" spans="3:6" x14ac:dyDescent="0.45">
      <c r="C153" s="1"/>
      <c r="E153" s="6"/>
      <c r="F153" s="6"/>
    </row>
    <row r="154" spans="3:6" x14ac:dyDescent="0.45">
      <c r="C154" s="1"/>
      <c r="E154" s="6"/>
      <c r="F154" s="6"/>
    </row>
    <row r="155" spans="3:6" x14ac:dyDescent="0.45">
      <c r="C155" s="1"/>
      <c r="E155" s="6"/>
      <c r="F155" s="6"/>
    </row>
    <row r="156" spans="3:6" x14ac:dyDescent="0.45">
      <c r="C156" s="1"/>
      <c r="E156" s="6"/>
      <c r="F156" s="6"/>
    </row>
    <row r="157" spans="3:6" x14ac:dyDescent="0.45">
      <c r="C157" s="1"/>
      <c r="E157" s="6"/>
      <c r="F157" s="6"/>
    </row>
    <row r="158" spans="3:6" x14ac:dyDescent="0.45">
      <c r="C158" s="1"/>
      <c r="E158" s="6"/>
      <c r="F158" s="6"/>
    </row>
    <row r="159" spans="3:6" x14ac:dyDescent="0.45">
      <c r="C159" s="1"/>
      <c r="E159" s="6"/>
      <c r="F159" s="6"/>
    </row>
    <row r="160" spans="3:6" x14ac:dyDescent="0.45">
      <c r="C160" s="1"/>
      <c r="E160" s="6"/>
      <c r="F160" s="6"/>
    </row>
    <row r="161" spans="3:6" x14ac:dyDescent="0.45">
      <c r="C161" s="1"/>
      <c r="E161" s="6"/>
      <c r="F161" s="6"/>
    </row>
    <row r="162" spans="3:6" x14ac:dyDescent="0.45">
      <c r="C162" s="1"/>
      <c r="E162" s="6"/>
      <c r="F162" s="6"/>
    </row>
    <row r="163" spans="3:6" x14ac:dyDescent="0.45">
      <c r="C163" s="1"/>
      <c r="E163" s="6"/>
      <c r="F163" s="6"/>
    </row>
    <row r="164" spans="3:6" x14ac:dyDescent="0.45">
      <c r="C164" s="1"/>
      <c r="E164" s="6"/>
      <c r="F164" s="6"/>
    </row>
    <row r="165" spans="3:6" x14ac:dyDescent="0.45">
      <c r="C165" s="1"/>
      <c r="E165" s="6"/>
      <c r="F165" s="6"/>
    </row>
    <row r="166" spans="3:6" x14ac:dyDescent="0.45">
      <c r="C166" s="1"/>
      <c r="E166" s="6"/>
      <c r="F166" s="6"/>
    </row>
    <row r="167" spans="3:6" x14ac:dyDescent="0.45">
      <c r="C167" s="1"/>
      <c r="E167" s="6"/>
      <c r="F167" s="6"/>
    </row>
    <row r="168" spans="3:6" x14ac:dyDescent="0.45">
      <c r="C168" s="1"/>
      <c r="E168" s="6"/>
      <c r="F168" s="6"/>
    </row>
    <row r="169" spans="3:6" x14ac:dyDescent="0.45">
      <c r="C169" s="1"/>
      <c r="E169" s="6"/>
      <c r="F169" s="6"/>
    </row>
    <row r="170" spans="3:6" x14ac:dyDescent="0.45">
      <c r="C170" s="1"/>
      <c r="E170" s="6"/>
      <c r="F170" s="6"/>
    </row>
    <row r="171" spans="3:6" x14ac:dyDescent="0.45">
      <c r="C171" s="1"/>
      <c r="E171" s="6"/>
      <c r="F171" s="6"/>
    </row>
    <row r="172" spans="3:6" x14ac:dyDescent="0.45">
      <c r="C172" s="1"/>
      <c r="E172" s="6"/>
      <c r="F172" s="6"/>
    </row>
    <row r="173" spans="3:6" x14ac:dyDescent="0.45">
      <c r="C173" s="1"/>
      <c r="E173" s="6"/>
      <c r="F173" s="6"/>
    </row>
    <row r="174" spans="3:6" x14ac:dyDescent="0.45">
      <c r="C174" s="1"/>
      <c r="E174" s="6"/>
      <c r="F174" s="6"/>
    </row>
    <row r="175" spans="3:6" x14ac:dyDescent="0.45">
      <c r="C175" s="1"/>
      <c r="E175" s="6"/>
      <c r="F175" s="6"/>
    </row>
    <row r="176" spans="3:6" x14ac:dyDescent="0.45">
      <c r="C176" s="1"/>
      <c r="E176" s="6"/>
      <c r="F176" s="6"/>
    </row>
    <row r="177" spans="3:6" x14ac:dyDescent="0.45">
      <c r="C177" s="1"/>
      <c r="E177" s="6"/>
      <c r="F177" s="6"/>
    </row>
    <row r="178" spans="3:6" x14ac:dyDescent="0.45">
      <c r="C178" s="1"/>
      <c r="E178" s="6"/>
      <c r="F178" s="6"/>
    </row>
    <row r="179" spans="3:6" x14ac:dyDescent="0.45">
      <c r="C179" s="1"/>
      <c r="E179" s="6"/>
      <c r="F179" s="6"/>
    </row>
    <row r="180" spans="3:6" x14ac:dyDescent="0.45">
      <c r="C180" s="1"/>
      <c r="E180" s="6"/>
      <c r="F180" s="6"/>
    </row>
    <row r="181" spans="3:6" x14ac:dyDescent="0.45">
      <c r="C181" s="1"/>
      <c r="E181" s="6"/>
      <c r="F181" s="6"/>
    </row>
    <row r="182" spans="3:6" x14ac:dyDescent="0.45">
      <c r="C182" s="1"/>
      <c r="E182" s="6"/>
      <c r="F182" s="6"/>
    </row>
    <row r="183" spans="3:6" x14ac:dyDescent="0.45">
      <c r="C183" s="1"/>
      <c r="E183" s="6"/>
      <c r="F183" s="6"/>
    </row>
    <row r="184" spans="3:6" x14ac:dyDescent="0.45">
      <c r="C184" s="1"/>
      <c r="E184" s="6"/>
      <c r="F184" s="6"/>
    </row>
    <row r="185" spans="3:6" x14ac:dyDescent="0.45">
      <c r="C185" s="1"/>
      <c r="E185" s="6"/>
      <c r="F185" s="6"/>
    </row>
    <row r="186" spans="3:6" x14ac:dyDescent="0.45">
      <c r="C186" s="1"/>
      <c r="E186" s="6"/>
      <c r="F186" s="6"/>
    </row>
    <row r="187" spans="3:6" x14ac:dyDescent="0.45">
      <c r="C187" s="1"/>
      <c r="E187" s="6"/>
      <c r="F187" s="6"/>
    </row>
    <row r="188" spans="3:6" x14ac:dyDescent="0.45">
      <c r="C188" s="1"/>
      <c r="E188" s="6"/>
      <c r="F188" s="6"/>
    </row>
    <row r="189" spans="3:6" x14ac:dyDescent="0.45">
      <c r="C189" s="1"/>
      <c r="E189" s="6"/>
      <c r="F189" s="6"/>
    </row>
    <row r="190" spans="3:6" x14ac:dyDescent="0.45">
      <c r="C190" s="1"/>
      <c r="E190" s="6"/>
      <c r="F190" s="6"/>
    </row>
    <row r="191" spans="3:6" x14ac:dyDescent="0.45">
      <c r="C191" s="1"/>
      <c r="E191" s="6"/>
      <c r="F191" s="6"/>
    </row>
    <row r="192" spans="3:6" x14ac:dyDescent="0.45">
      <c r="C192" s="1"/>
      <c r="E192" s="6"/>
      <c r="F192" s="6"/>
    </row>
    <row r="193" spans="3:6" x14ac:dyDescent="0.45">
      <c r="C193" s="1"/>
      <c r="E193" s="6"/>
      <c r="F193" s="6"/>
    </row>
    <row r="194" spans="3:6" x14ac:dyDescent="0.45">
      <c r="C194" s="1"/>
      <c r="E194" s="6"/>
      <c r="F194" s="6"/>
    </row>
    <row r="195" spans="3:6" x14ac:dyDescent="0.45">
      <c r="C195" s="1"/>
      <c r="E195" s="6"/>
      <c r="F195" s="6"/>
    </row>
    <row r="196" spans="3:6" x14ac:dyDescent="0.45">
      <c r="C196" s="1"/>
      <c r="E196" s="6"/>
      <c r="F196" s="6"/>
    </row>
    <row r="197" spans="3:6" x14ac:dyDescent="0.45">
      <c r="C197" s="1"/>
      <c r="E197" s="6"/>
      <c r="F197" s="6"/>
    </row>
    <row r="198" spans="3:6" x14ac:dyDescent="0.45">
      <c r="C198" s="1"/>
      <c r="E198" s="6"/>
      <c r="F198" s="6"/>
    </row>
    <row r="199" spans="3:6" x14ac:dyDescent="0.45">
      <c r="C199" s="1"/>
      <c r="E199" s="6"/>
      <c r="F199" s="6"/>
    </row>
    <row r="200" spans="3:6" x14ac:dyDescent="0.45">
      <c r="C200" s="1"/>
      <c r="E200" s="6"/>
      <c r="F200" s="6"/>
    </row>
    <row r="201" spans="3:6" x14ac:dyDescent="0.45">
      <c r="C201" s="1"/>
      <c r="E201" s="6"/>
      <c r="F201" s="6"/>
    </row>
    <row r="202" spans="3:6" x14ac:dyDescent="0.45">
      <c r="C202" s="1"/>
      <c r="E202" s="6"/>
      <c r="F202" s="6"/>
    </row>
    <row r="203" spans="3:6" x14ac:dyDescent="0.45">
      <c r="C203" s="1"/>
      <c r="E203" s="6"/>
      <c r="F203" s="6"/>
    </row>
    <row r="204" spans="3:6" x14ac:dyDescent="0.45">
      <c r="C204" s="1"/>
      <c r="E204" s="6"/>
      <c r="F204" s="6"/>
    </row>
    <row r="205" spans="3:6" x14ac:dyDescent="0.45">
      <c r="C205" s="1"/>
      <c r="E205" s="6"/>
      <c r="F205" s="6"/>
    </row>
    <row r="206" spans="3:6" x14ac:dyDescent="0.45">
      <c r="C206" s="1"/>
      <c r="E206" s="6"/>
      <c r="F206" s="6"/>
    </row>
    <row r="207" spans="3:6" x14ac:dyDescent="0.45">
      <c r="C207" s="1"/>
      <c r="E207" s="6"/>
      <c r="F207" s="6"/>
    </row>
    <row r="208" spans="3:6" x14ac:dyDescent="0.45">
      <c r="C208" s="1"/>
      <c r="E208" s="6"/>
      <c r="F208" s="6"/>
    </row>
    <row r="209" spans="3:6" x14ac:dyDescent="0.45">
      <c r="C209" s="1"/>
      <c r="E209" s="6"/>
      <c r="F209" s="6"/>
    </row>
    <row r="210" spans="3:6" x14ac:dyDescent="0.45">
      <c r="C210" s="1"/>
      <c r="E210" s="6"/>
      <c r="F210" s="6"/>
    </row>
    <row r="211" spans="3:6" x14ac:dyDescent="0.45">
      <c r="C211" s="1"/>
      <c r="E211" s="6"/>
      <c r="F211" s="6"/>
    </row>
    <row r="212" spans="3:6" x14ac:dyDescent="0.45">
      <c r="C212" s="1"/>
      <c r="E212" s="6"/>
      <c r="F212" s="6"/>
    </row>
    <row r="213" spans="3:6" x14ac:dyDescent="0.45">
      <c r="C213" s="1"/>
      <c r="E213" s="6"/>
      <c r="F213" s="6"/>
    </row>
    <row r="214" spans="3:6" x14ac:dyDescent="0.45">
      <c r="C214" s="1"/>
      <c r="E214" s="6"/>
      <c r="F214" s="6"/>
    </row>
    <row r="215" spans="3:6" x14ac:dyDescent="0.45">
      <c r="C215" s="1"/>
      <c r="E215" s="6"/>
      <c r="F215" s="6"/>
    </row>
    <row r="216" spans="3:6" x14ac:dyDescent="0.45">
      <c r="C216" s="1"/>
      <c r="E216" s="6"/>
      <c r="F216" s="6"/>
    </row>
    <row r="217" spans="3:6" x14ac:dyDescent="0.45">
      <c r="C217" s="1"/>
      <c r="E217" s="6"/>
      <c r="F217" s="6"/>
    </row>
    <row r="218" spans="3:6" x14ac:dyDescent="0.45">
      <c r="C218" s="1"/>
      <c r="E218" s="6"/>
      <c r="F218" s="6"/>
    </row>
    <row r="219" spans="3:6" x14ac:dyDescent="0.45">
      <c r="C219" s="1"/>
      <c r="E219" s="6"/>
      <c r="F219" s="6"/>
    </row>
    <row r="220" spans="3:6" x14ac:dyDescent="0.45">
      <c r="C220" s="1"/>
      <c r="E220" s="6"/>
      <c r="F220" s="6"/>
    </row>
    <row r="221" spans="3:6" x14ac:dyDescent="0.45">
      <c r="C221" s="1"/>
      <c r="E221" s="6"/>
      <c r="F221" s="6"/>
    </row>
    <row r="222" spans="3:6" x14ac:dyDescent="0.45">
      <c r="C222" s="1"/>
      <c r="E222" s="6"/>
      <c r="F222" s="6"/>
    </row>
    <row r="223" spans="3:6" x14ac:dyDescent="0.45">
      <c r="C223" s="1"/>
      <c r="E223" s="6"/>
      <c r="F223" s="6"/>
    </row>
    <row r="224" spans="3:6" x14ac:dyDescent="0.45">
      <c r="C224" s="1"/>
      <c r="E224" s="6"/>
      <c r="F224" s="6"/>
    </row>
    <row r="225" spans="3:6" x14ac:dyDescent="0.45">
      <c r="C225" s="1"/>
      <c r="E225" s="6"/>
      <c r="F225" s="6"/>
    </row>
    <row r="226" spans="3:6" x14ac:dyDescent="0.45">
      <c r="C226" s="1"/>
      <c r="E226" s="6"/>
      <c r="F226" s="6"/>
    </row>
    <row r="227" spans="3:6" x14ac:dyDescent="0.45">
      <c r="C227" s="1"/>
      <c r="E227" s="6"/>
      <c r="F227" s="6"/>
    </row>
    <row r="228" spans="3:6" x14ac:dyDescent="0.45">
      <c r="C228" s="1"/>
      <c r="E228" s="6"/>
      <c r="F228" s="6"/>
    </row>
    <row r="229" spans="3:6" x14ac:dyDescent="0.45">
      <c r="C229" s="1"/>
      <c r="E229" s="6"/>
      <c r="F229" s="6"/>
    </row>
    <row r="230" spans="3:6" x14ac:dyDescent="0.45">
      <c r="C230" s="1"/>
      <c r="E230" s="6"/>
      <c r="F230" s="6"/>
    </row>
    <row r="231" spans="3:6" x14ac:dyDescent="0.45">
      <c r="C231" s="1"/>
      <c r="E231" s="6"/>
      <c r="F231" s="6"/>
    </row>
    <row r="232" spans="3:6" x14ac:dyDescent="0.45">
      <c r="C232" s="1"/>
      <c r="E232" s="6"/>
      <c r="F232" s="6"/>
    </row>
    <row r="233" spans="3:6" x14ac:dyDescent="0.45">
      <c r="C233" s="1"/>
      <c r="E233" s="6"/>
      <c r="F233" s="6"/>
    </row>
    <row r="234" spans="3:6" x14ac:dyDescent="0.45">
      <c r="C234" s="1"/>
      <c r="E234" s="6"/>
      <c r="F234" s="6"/>
    </row>
    <row r="235" spans="3:6" x14ac:dyDescent="0.45">
      <c r="C235" s="1"/>
      <c r="E235" s="6"/>
      <c r="F235" s="6"/>
    </row>
    <row r="236" spans="3:6" x14ac:dyDescent="0.45">
      <c r="C236" s="1"/>
      <c r="E236" s="6"/>
      <c r="F236" s="6"/>
    </row>
    <row r="237" spans="3:6" x14ac:dyDescent="0.45">
      <c r="C237" s="1"/>
      <c r="E237" s="6"/>
      <c r="F237" s="6"/>
    </row>
    <row r="238" spans="3:6" x14ac:dyDescent="0.45">
      <c r="C238" s="1"/>
      <c r="E238" s="6"/>
      <c r="F238" s="6"/>
    </row>
    <row r="239" spans="3:6" x14ac:dyDescent="0.45">
      <c r="C239" s="1"/>
      <c r="E239" s="6"/>
      <c r="F239" s="6"/>
    </row>
    <row r="240" spans="3:6" x14ac:dyDescent="0.45">
      <c r="C240" s="1"/>
      <c r="E240" s="6"/>
      <c r="F240" s="6"/>
    </row>
    <row r="241" spans="3:6" x14ac:dyDescent="0.45">
      <c r="C241" s="1"/>
      <c r="E241" s="6"/>
      <c r="F241" s="6"/>
    </row>
    <row r="242" spans="3:6" x14ac:dyDescent="0.45">
      <c r="C242" s="1"/>
      <c r="E242" s="6"/>
      <c r="F242" s="6"/>
    </row>
    <row r="243" spans="3:6" x14ac:dyDescent="0.45">
      <c r="C243" s="1"/>
      <c r="E243" s="6"/>
      <c r="F243" s="6"/>
    </row>
    <row r="244" spans="3:6" x14ac:dyDescent="0.45">
      <c r="C244" s="1"/>
      <c r="E244" s="6"/>
      <c r="F244" s="6"/>
    </row>
    <row r="245" spans="3:6" x14ac:dyDescent="0.45">
      <c r="C245" s="1"/>
      <c r="E245" s="6"/>
      <c r="F245" s="6"/>
    </row>
    <row r="246" spans="3:6" x14ac:dyDescent="0.45">
      <c r="C246" s="1"/>
      <c r="E246" s="6"/>
      <c r="F246" s="6"/>
    </row>
    <row r="247" spans="3:6" x14ac:dyDescent="0.45">
      <c r="C247" s="1"/>
      <c r="E247" s="6"/>
      <c r="F247" s="6"/>
    </row>
    <row r="248" spans="3:6" x14ac:dyDescent="0.45">
      <c r="C248" s="1"/>
      <c r="E248" s="6"/>
      <c r="F248" s="6"/>
    </row>
    <row r="249" spans="3:6" x14ac:dyDescent="0.45">
      <c r="C249" s="1"/>
      <c r="E249" s="6"/>
      <c r="F249" s="6"/>
    </row>
    <row r="250" spans="3:6" x14ac:dyDescent="0.45">
      <c r="C250" s="1"/>
      <c r="E250" s="6"/>
      <c r="F250" s="6"/>
    </row>
    <row r="251" spans="3:6" x14ac:dyDescent="0.45">
      <c r="C251" s="1"/>
      <c r="E251" s="6"/>
      <c r="F251" s="6"/>
    </row>
    <row r="252" spans="3:6" x14ac:dyDescent="0.45">
      <c r="C252" s="1"/>
    </row>
    <row r="253" spans="3:6" x14ac:dyDescent="0.45">
      <c r="C253" s="1"/>
    </row>
    <row r="254" spans="3:6" x14ac:dyDescent="0.45">
      <c r="C254" s="1"/>
    </row>
    <row r="255" spans="3:6" x14ac:dyDescent="0.45">
      <c r="C255" s="1"/>
    </row>
    <row r="256" spans="3:6" x14ac:dyDescent="0.45">
      <c r="C256" s="1"/>
    </row>
    <row r="257" spans="3:3" x14ac:dyDescent="0.45">
      <c r="C257" s="1"/>
    </row>
    <row r="258" spans="3:3" x14ac:dyDescent="0.45">
      <c r="C258" s="1"/>
    </row>
    <row r="259" spans="3:3" x14ac:dyDescent="0.45">
      <c r="C259" s="1"/>
    </row>
    <row r="260" spans="3:3" x14ac:dyDescent="0.45">
      <c r="C260" s="1"/>
    </row>
    <row r="261" spans="3:3" x14ac:dyDescent="0.45">
      <c r="C261" s="1"/>
    </row>
    <row r="262" spans="3:3" x14ac:dyDescent="0.45">
      <c r="C262" s="1"/>
    </row>
    <row r="263" spans="3:3" x14ac:dyDescent="0.45">
      <c r="C263" s="1"/>
    </row>
    <row r="264" spans="3:3" x14ac:dyDescent="0.45">
      <c r="C264" s="1"/>
    </row>
    <row r="265" spans="3:3" x14ac:dyDescent="0.45">
      <c r="C265" s="1"/>
    </row>
    <row r="266" spans="3:3" x14ac:dyDescent="0.45">
      <c r="C266" s="1"/>
    </row>
    <row r="267" spans="3:3" x14ac:dyDescent="0.45">
      <c r="C267" s="1"/>
    </row>
    <row r="268" spans="3:3" x14ac:dyDescent="0.45">
      <c r="C268" s="1"/>
    </row>
    <row r="269" spans="3:3" x14ac:dyDescent="0.45">
      <c r="C269" s="1"/>
    </row>
    <row r="270" spans="3:3" x14ac:dyDescent="0.45">
      <c r="C270" s="1"/>
    </row>
    <row r="271" spans="3:3" x14ac:dyDescent="0.45">
      <c r="C271" s="1"/>
    </row>
    <row r="272" spans="3:3" x14ac:dyDescent="0.45">
      <c r="C272" s="1"/>
    </row>
    <row r="273" spans="3:3" x14ac:dyDescent="0.45">
      <c r="C273" s="1"/>
    </row>
    <row r="274" spans="3:3" x14ac:dyDescent="0.45">
      <c r="C274" s="1"/>
    </row>
    <row r="275" spans="3:3" x14ac:dyDescent="0.45">
      <c r="C275" s="1"/>
    </row>
    <row r="276" spans="3:3" x14ac:dyDescent="0.45">
      <c r="C276" s="1"/>
    </row>
    <row r="277" spans="3:3" x14ac:dyDescent="0.45">
      <c r="C277" s="1"/>
    </row>
    <row r="278" spans="3:3" x14ac:dyDescent="0.45">
      <c r="C278" s="1"/>
    </row>
    <row r="279" spans="3:3" x14ac:dyDescent="0.45">
      <c r="C279" s="1"/>
    </row>
    <row r="280" spans="3:3" x14ac:dyDescent="0.45">
      <c r="C280" s="1"/>
    </row>
    <row r="281" spans="3:3" x14ac:dyDescent="0.45">
      <c r="C281" s="1"/>
    </row>
    <row r="282" spans="3:3" x14ac:dyDescent="0.45">
      <c r="C282" s="1"/>
    </row>
    <row r="283" spans="3:3" x14ac:dyDescent="0.45">
      <c r="C283" s="1"/>
    </row>
    <row r="284" spans="3:3" x14ac:dyDescent="0.45">
      <c r="C284" s="1"/>
    </row>
    <row r="285" spans="3:3" x14ac:dyDescent="0.45">
      <c r="C285" s="1"/>
    </row>
    <row r="286" spans="3:3" x14ac:dyDescent="0.45">
      <c r="C286" s="1"/>
    </row>
    <row r="287" spans="3:3" x14ac:dyDescent="0.45">
      <c r="C287" s="1"/>
    </row>
    <row r="288" spans="3:3" x14ac:dyDescent="0.45">
      <c r="C288" s="1"/>
    </row>
    <row r="289" spans="3:3" x14ac:dyDescent="0.45">
      <c r="C289" s="1"/>
    </row>
    <row r="290" spans="3:3" x14ac:dyDescent="0.45">
      <c r="C290" s="1"/>
    </row>
    <row r="291" spans="3:3" x14ac:dyDescent="0.45">
      <c r="C291" s="1"/>
    </row>
    <row r="292" spans="3:3" x14ac:dyDescent="0.45">
      <c r="C292" s="1"/>
    </row>
    <row r="293" spans="3:3" x14ac:dyDescent="0.45">
      <c r="C293" s="1"/>
    </row>
    <row r="294" spans="3:3" x14ac:dyDescent="0.45">
      <c r="C294" s="1"/>
    </row>
    <row r="295" spans="3:3" x14ac:dyDescent="0.45">
      <c r="C295" s="1"/>
    </row>
    <row r="296" spans="3:3" x14ac:dyDescent="0.45">
      <c r="C296" s="1"/>
    </row>
    <row r="297" spans="3:3" x14ac:dyDescent="0.45">
      <c r="C297" s="1"/>
    </row>
    <row r="298" spans="3:3" x14ac:dyDescent="0.45">
      <c r="C298" s="1"/>
    </row>
    <row r="299" spans="3:3" x14ac:dyDescent="0.45">
      <c r="C299" s="1"/>
    </row>
    <row r="300" spans="3:3" x14ac:dyDescent="0.45">
      <c r="C300" s="1"/>
    </row>
    <row r="301" spans="3:3" x14ac:dyDescent="0.45">
      <c r="C301" s="1"/>
    </row>
    <row r="302" spans="3:3" x14ac:dyDescent="0.45">
      <c r="C302" s="1"/>
    </row>
    <row r="303" spans="3:3" x14ac:dyDescent="0.45">
      <c r="C303" s="1"/>
    </row>
    <row r="304" spans="3:3" x14ac:dyDescent="0.45">
      <c r="C304" s="1"/>
    </row>
    <row r="305" spans="3:3" x14ac:dyDescent="0.45">
      <c r="C305" s="1"/>
    </row>
    <row r="306" spans="3:3" x14ac:dyDescent="0.45">
      <c r="C306" s="1"/>
    </row>
    <row r="307" spans="3:3" x14ac:dyDescent="0.45">
      <c r="C307" s="1"/>
    </row>
    <row r="308" spans="3:3" x14ac:dyDescent="0.45">
      <c r="C308" s="1"/>
    </row>
    <row r="309" spans="3:3" x14ac:dyDescent="0.45">
      <c r="C309" s="1"/>
    </row>
    <row r="310" spans="3:3" x14ac:dyDescent="0.45">
      <c r="C310" s="1"/>
    </row>
    <row r="311" spans="3:3" x14ac:dyDescent="0.45">
      <c r="C311" s="1"/>
    </row>
    <row r="312" spans="3:3" x14ac:dyDescent="0.45">
      <c r="C312" s="1"/>
    </row>
    <row r="313" spans="3:3" x14ac:dyDescent="0.45">
      <c r="C313" s="1"/>
    </row>
    <row r="314" spans="3:3" x14ac:dyDescent="0.45">
      <c r="C314" s="1"/>
    </row>
    <row r="315" spans="3:3" x14ac:dyDescent="0.45">
      <c r="C315" s="1"/>
    </row>
    <row r="316" spans="3:3" x14ac:dyDescent="0.45">
      <c r="C316" s="1"/>
    </row>
    <row r="317" spans="3:3" x14ac:dyDescent="0.45">
      <c r="C317" s="1"/>
    </row>
    <row r="318" spans="3:3" x14ac:dyDescent="0.45">
      <c r="C318" s="1"/>
    </row>
    <row r="319" spans="3:3" x14ac:dyDescent="0.45">
      <c r="C319" s="1"/>
    </row>
    <row r="320" spans="3:3" x14ac:dyDescent="0.45">
      <c r="C320" s="1"/>
    </row>
    <row r="321" spans="3:3" x14ac:dyDescent="0.45">
      <c r="C321" s="1"/>
    </row>
    <row r="322" spans="3:3" x14ac:dyDescent="0.45">
      <c r="C322" s="1"/>
    </row>
    <row r="323" spans="3:3" x14ac:dyDescent="0.45">
      <c r="C323" s="1"/>
    </row>
  </sheetData>
  <dataValidations count="1">
    <dataValidation type="whole" allowBlank="1" showInputMessage="1" showErrorMessage="1" sqref="G2:H2 G6:H6 G8:H8 G10:H10 G12:H17 G29:H29 G41:H41" xr:uid="{9517986F-E977-4229-95B7-06D920BE47FB}">
      <formula1>2</formula1>
      <formula2>100</formula2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E61F-988B-4A15-B40B-FDA33F4A6476}">
  <dimension ref="A1:D13"/>
  <sheetViews>
    <sheetView workbookViewId="0">
      <selection activeCell="I33" sqref="I33"/>
    </sheetView>
  </sheetViews>
  <sheetFormatPr defaultRowHeight="15" x14ac:dyDescent="0.25"/>
  <cols>
    <col min="2" max="2" width="27.42578125" bestFit="1" customWidth="1"/>
    <col min="3" max="3" width="23.140625" bestFit="1" customWidth="1"/>
    <col min="4" max="4" width="13.7109375" bestFit="1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 t="s">
        <v>35</v>
      </c>
      <c r="B2" t="s">
        <v>36</v>
      </c>
      <c r="C2" t="s">
        <v>37</v>
      </c>
      <c r="D2">
        <v>214</v>
      </c>
    </row>
    <row r="3" spans="1:4" x14ac:dyDescent="0.25">
      <c r="A3" t="s">
        <v>38</v>
      </c>
      <c r="B3" t="s">
        <v>39</v>
      </c>
      <c r="C3" t="s">
        <v>37</v>
      </c>
      <c r="D3">
        <v>78</v>
      </c>
    </row>
    <row r="4" spans="1:4" x14ac:dyDescent="0.25">
      <c r="A4" t="s">
        <v>40</v>
      </c>
      <c r="B4" t="s">
        <v>41</v>
      </c>
      <c r="C4" t="s">
        <v>42</v>
      </c>
      <c r="D4">
        <v>156</v>
      </c>
    </row>
    <row r="5" spans="1:4" x14ac:dyDescent="0.25">
      <c r="A5" t="s">
        <v>43</v>
      </c>
      <c r="B5" t="s">
        <v>44</v>
      </c>
      <c r="C5" t="s">
        <v>37</v>
      </c>
      <c r="D5">
        <v>71</v>
      </c>
    </row>
    <row r="6" spans="1:4" x14ac:dyDescent="0.25">
      <c r="A6" t="s">
        <v>45</v>
      </c>
      <c r="B6" t="s">
        <v>46</v>
      </c>
      <c r="C6" t="s">
        <v>42</v>
      </c>
      <c r="D6">
        <v>101</v>
      </c>
    </row>
    <row r="7" spans="1:4" x14ac:dyDescent="0.25">
      <c r="A7" t="s">
        <v>47</v>
      </c>
      <c r="B7" t="s">
        <v>48</v>
      </c>
      <c r="C7" t="s">
        <v>42</v>
      </c>
      <c r="D7">
        <v>13</v>
      </c>
    </row>
    <row r="8" spans="1:4" x14ac:dyDescent="0.25">
      <c r="A8" t="s">
        <v>49</v>
      </c>
      <c r="B8" t="s">
        <v>50</v>
      </c>
      <c r="C8" t="s">
        <v>37</v>
      </c>
      <c r="D8">
        <v>9</v>
      </c>
    </row>
    <row r="9" spans="1:4" x14ac:dyDescent="0.25">
      <c r="A9" t="s">
        <v>51</v>
      </c>
      <c r="B9" t="s">
        <v>52</v>
      </c>
      <c r="C9" t="s">
        <v>53</v>
      </c>
      <c r="D9">
        <v>107</v>
      </c>
    </row>
    <row r="10" spans="1:4" x14ac:dyDescent="0.25">
      <c r="A10" t="s">
        <v>54</v>
      </c>
      <c r="B10" t="s">
        <v>55</v>
      </c>
      <c r="C10" t="s">
        <v>37</v>
      </c>
      <c r="D10">
        <v>126</v>
      </c>
    </row>
    <row r="11" spans="1:4" x14ac:dyDescent="0.25">
      <c r="A11" t="s">
        <v>56</v>
      </c>
      <c r="B11" t="s">
        <v>57</v>
      </c>
      <c r="C11" t="s">
        <v>42</v>
      </c>
      <c r="D11">
        <v>87</v>
      </c>
    </row>
    <row r="12" spans="1:4" x14ac:dyDescent="0.25">
      <c r="A12" t="s">
        <v>62</v>
      </c>
      <c r="B12" t="s">
        <v>63</v>
      </c>
      <c r="D12">
        <v>7</v>
      </c>
    </row>
    <row r="13" spans="1:4" x14ac:dyDescent="0.25">
      <c r="A13" t="s">
        <v>6</v>
      </c>
      <c r="B13" t="s">
        <v>64</v>
      </c>
      <c r="D13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9A91-47FA-4DA3-B56A-0AD57D8335D5}">
  <dimension ref="A1:F13"/>
  <sheetViews>
    <sheetView workbookViewId="0">
      <selection activeCell="I33" sqref="I33"/>
    </sheetView>
  </sheetViews>
  <sheetFormatPr defaultRowHeight="15" x14ac:dyDescent="0.25"/>
  <cols>
    <col min="2" max="2" width="12.7109375" bestFit="1" customWidth="1"/>
    <col min="3" max="3" width="15.5703125" bestFit="1" customWidth="1"/>
    <col min="4" max="5" width="12.7109375" bestFit="1" customWidth="1"/>
    <col min="6" max="6" width="11.140625" bestFit="1" customWidth="1"/>
  </cols>
  <sheetData>
    <row r="1" spans="1:6" x14ac:dyDescent="0.25">
      <c r="A1" t="s">
        <v>58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5">
      <c r="A2" t="s">
        <v>35</v>
      </c>
      <c r="B2">
        <v>-0.60866736742751304</v>
      </c>
      <c r="C2">
        <v>25</v>
      </c>
      <c r="D2">
        <v>-1.8156425221711101E-2</v>
      </c>
      <c r="E2">
        <v>-4.6858142188967999E-2</v>
      </c>
      <c r="F2">
        <v>2</v>
      </c>
    </row>
    <row r="3" spans="1:6" x14ac:dyDescent="0.25">
      <c r="A3" t="s">
        <v>38</v>
      </c>
      <c r="B3">
        <v>-0.25641828428302998</v>
      </c>
      <c r="C3">
        <v>9</v>
      </c>
      <c r="D3">
        <v>-1.34565499351491E-2</v>
      </c>
      <c r="E3">
        <v>-3.38947953575892E-2</v>
      </c>
      <c r="F3">
        <v>0.6</v>
      </c>
    </row>
    <row r="4" spans="1:6" x14ac:dyDescent="0.25">
      <c r="A4" t="s">
        <v>40</v>
      </c>
      <c r="B4">
        <v>-0.65254909740130795</v>
      </c>
      <c r="C4">
        <v>23</v>
      </c>
      <c r="D4">
        <v>-2.2058442969971101E-2</v>
      </c>
      <c r="E4">
        <v>-5.4597860461296402E-2</v>
      </c>
      <c r="F4">
        <v>3.5</v>
      </c>
    </row>
    <row r="5" spans="1:6" x14ac:dyDescent="0.25">
      <c r="A5" t="s">
        <v>43</v>
      </c>
      <c r="B5">
        <v>-0.70495767835550205</v>
      </c>
      <c r="C5">
        <v>27</v>
      </c>
      <c r="D5">
        <v>-2.5390625E-2</v>
      </c>
      <c r="E5">
        <v>-6.1894286556788199E-2</v>
      </c>
      <c r="F5">
        <v>1.5</v>
      </c>
    </row>
    <row r="6" spans="1:6" x14ac:dyDescent="0.25">
      <c r="A6" t="s">
        <v>45</v>
      </c>
      <c r="B6">
        <v>-0.77132981626341601</v>
      </c>
      <c r="C6">
        <v>28</v>
      </c>
      <c r="D6">
        <v>-3.0028703908147599E-2</v>
      </c>
      <c r="E6">
        <v>-7.5222009997597206E-2</v>
      </c>
      <c r="F6">
        <v>6.6</v>
      </c>
    </row>
    <row r="7" spans="1:6" x14ac:dyDescent="0.25">
      <c r="A7" t="s">
        <v>47</v>
      </c>
      <c r="B7">
        <v>-0.38405797101449202</v>
      </c>
      <c r="C7">
        <v>7</v>
      </c>
      <c r="D7">
        <v>-1.2237072608141801E-2</v>
      </c>
      <c r="E7">
        <v>-3.3277910343621202E-2</v>
      </c>
      <c r="F7">
        <v>0.8</v>
      </c>
    </row>
    <row r="8" spans="1:6" x14ac:dyDescent="0.25">
      <c r="A8" t="s">
        <v>49</v>
      </c>
      <c r="B8">
        <v>-0.28235294117646997</v>
      </c>
      <c r="C8">
        <v>8</v>
      </c>
      <c r="D8">
        <v>-1.39508928571429E-2</v>
      </c>
      <c r="E8">
        <v>-2.8214632926427102E-2</v>
      </c>
      <c r="F8">
        <v>0.9</v>
      </c>
    </row>
    <row r="9" spans="1:6" x14ac:dyDescent="0.25">
      <c r="A9" t="s">
        <v>51</v>
      </c>
      <c r="B9">
        <v>-0.81990426129080696</v>
      </c>
      <c r="C9">
        <v>27</v>
      </c>
      <c r="D9">
        <v>-2.40500674095619E-2</v>
      </c>
      <c r="E9">
        <v>-6.8244022887148606E-2</v>
      </c>
      <c r="F9">
        <v>2.2000000000000002</v>
      </c>
    </row>
    <row r="10" spans="1:6" x14ac:dyDescent="0.25">
      <c r="A10" t="s">
        <v>54</v>
      </c>
      <c r="B10">
        <v>-0.56082388719933596</v>
      </c>
      <c r="C10">
        <v>13</v>
      </c>
      <c r="D10">
        <v>-2.9240505366657E-2</v>
      </c>
      <c r="E10">
        <v>-5.8101337567885297E-2</v>
      </c>
      <c r="F10">
        <v>1.4</v>
      </c>
    </row>
    <row r="11" spans="1:6" x14ac:dyDescent="0.25">
      <c r="A11" t="s">
        <v>56</v>
      </c>
      <c r="B11">
        <v>-0.60626539643783595</v>
      </c>
      <c r="C11">
        <v>13</v>
      </c>
      <c r="D11">
        <v>-3.2371541501976103E-2</v>
      </c>
      <c r="E11">
        <v>-8.5940320531607495E-2</v>
      </c>
      <c r="F11">
        <v>2.6</v>
      </c>
    </row>
    <row r="12" spans="1:6" x14ac:dyDescent="0.25">
      <c r="A12" t="s">
        <v>6</v>
      </c>
      <c r="B12">
        <v>-0.42537683104963703</v>
      </c>
      <c r="C12">
        <v>8</v>
      </c>
      <c r="D12">
        <v>-2.2804531951259002E-2</v>
      </c>
      <c r="E12">
        <v>-4.51379774862938E-2</v>
      </c>
      <c r="F12">
        <v>0.6</v>
      </c>
    </row>
    <row r="13" spans="1:6" x14ac:dyDescent="0.25">
      <c r="A13" t="s">
        <v>62</v>
      </c>
      <c r="B13">
        <v>-0.374647887323943</v>
      </c>
      <c r="C13">
        <v>12</v>
      </c>
      <c r="D13">
        <v>-1.5900000000000102E-2</v>
      </c>
      <c r="E13">
        <v>-4.11474534616387E-2</v>
      </c>
      <c r="F13">
        <v>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AA9C-1FB5-40C7-BA22-8C86913320FD}">
  <dimension ref="A1:J13"/>
  <sheetViews>
    <sheetView workbookViewId="0">
      <selection activeCell="I33" sqref="I33"/>
    </sheetView>
  </sheetViews>
  <sheetFormatPr defaultRowHeight="15" x14ac:dyDescent="0.25"/>
  <cols>
    <col min="2" max="2" width="12.7109375" bestFit="1" customWidth="1"/>
    <col min="3" max="5" width="10.7109375" bestFit="1" customWidth="1"/>
    <col min="6" max="6" width="6.7109375" bestFit="1" customWidth="1"/>
    <col min="7" max="7" width="13.140625" bestFit="1" customWidth="1"/>
    <col min="8" max="8" width="8.7109375" bestFit="1" customWidth="1"/>
    <col min="9" max="9" width="11.28515625" bestFit="1" customWidth="1"/>
    <col min="10" max="10" width="11.42578125" bestFit="1" customWidth="1"/>
  </cols>
  <sheetData>
    <row r="1" spans="1:10" x14ac:dyDescent="0.25">
      <c r="A1" t="s">
        <v>58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25">
      <c r="A2" t="s">
        <v>35</v>
      </c>
      <c r="B2">
        <v>-0.60866736742751304</v>
      </c>
      <c r="C2" s="11">
        <v>39447</v>
      </c>
      <c r="D2" s="11">
        <v>39833</v>
      </c>
      <c r="E2" s="11">
        <v>40107</v>
      </c>
      <c r="F2">
        <v>457</v>
      </c>
      <c r="G2">
        <v>266</v>
      </c>
      <c r="H2">
        <v>191</v>
      </c>
      <c r="I2" t="b">
        <v>1</v>
      </c>
      <c r="J2" t="b">
        <v>1</v>
      </c>
    </row>
    <row r="3" spans="1:10" x14ac:dyDescent="0.25">
      <c r="A3" t="s">
        <v>38</v>
      </c>
      <c r="B3">
        <v>-0.25641828428302998</v>
      </c>
      <c r="C3" s="11">
        <v>43881</v>
      </c>
      <c r="D3" s="11">
        <v>43902</v>
      </c>
      <c r="E3" s="11">
        <v>43971</v>
      </c>
      <c r="F3">
        <v>64</v>
      </c>
      <c r="G3">
        <v>16</v>
      </c>
      <c r="H3">
        <v>48</v>
      </c>
      <c r="I3" t="b">
        <v>1</v>
      </c>
      <c r="J3" t="b">
        <v>1</v>
      </c>
    </row>
    <row r="4" spans="1:10" x14ac:dyDescent="0.25">
      <c r="A4" t="s">
        <v>40</v>
      </c>
      <c r="B4">
        <v>-0.65254909740130795</v>
      </c>
      <c r="C4" s="11">
        <v>39379</v>
      </c>
      <c r="D4" s="11">
        <v>39772</v>
      </c>
      <c r="E4" s="11">
        <v>40109</v>
      </c>
      <c r="F4">
        <v>505</v>
      </c>
      <c r="G4">
        <v>273</v>
      </c>
      <c r="H4">
        <v>232</v>
      </c>
      <c r="I4" t="b">
        <v>1</v>
      </c>
      <c r="J4" t="b">
        <v>1</v>
      </c>
    </row>
    <row r="5" spans="1:10" x14ac:dyDescent="0.25">
      <c r="A5" t="s">
        <v>43</v>
      </c>
      <c r="B5">
        <v>-0.70495767835550205</v>
      </c>
      <c r="C5" s="11">
        <v>39623</v>
      </c>
      <c r="D5" s="11">
        <v>39771</v>
      </c>
      <c r="E5" s="11">
        <v>40176</v>
      </c>
      <c r="F5">
        <v>383</v>
      </c>
      <c r="G5">
        <v>105</v>
      </c>
      <c r="H5">
        <v>278</v>
      </c>
      <c r="I5" t="b">
        <v>1</v>
      </c>
      <c r="J5" t="b">
        <v>1</v>
      </c>
    </row>
    <row r="6" spans="1:10" x14ac:dyDescent="0.25">
      <c r="A6" t="s">
        <v>45</v>
      </c>
      <c r="B6">
        <v>-0.77132981626341601</v>
      </c>
      <c r="C6" s="11">
        <v>39443</v>
      </c>
      <c r="D6" s="11">
        <v>39874</v>
      </c>
      <c r="E6" s="11">
        <v>40347</v>
      </c>
      <c r="F6">
        <v>624</v>
      </c>
      <c r="G6">
        <v>296</v>
      </c>
      <c r="H6">
        <v>328</v>
      </c>
      <c r="I6" t="b">
        <v>1</v>
      </c>
      <c r="J6" t="b">
        <v>1</v>
      </c>
    </row>
    <row r="7" spans="1:10" x14ac:dyDescent="0.25">
      <c r="A7" t="s">
        <v>47</v>
      </c>
      <c r="B7">
        <v>-0.38405797101449202</v>
      </c>
      <c r="C7" s="11">
        <v>43882</v>
      </c>
      <c r="D7" s="11">
        <v>43910</v>
      </c>
      <c r="E7" s="11">
        <v>43978</v>
      </c>
      <c r="F7">
        <v>67</v>
      </c>
      <c r="G7">
        <v>21</v>
      </c>
      <c r="H7">
        <v>46</v>
      </c>
      <c r="I7" t="b">
        <v>1</v>
      </c>
      <c r="J7" t="b">
        <v>1</v>
      </c>
    </row>
    <row r="8" spans="1:10" x14ac:dyDescent="0.25">
      <c r="A8" t="s">
        <v>49</v>
      </c>
      <c r="B8">
        <v>-0.28235294117646997</v>
      </c>
      <c r="C8" s="11">
        <v>43872</v>
      </c>
      <c r="D8" s="11">
        <v>43906</v>
      </c>
      <c r="E8" s="11">
        <v>43991</v>
      </c>
      <c r="F8">
        <v>83</v>
      </c>
      <c r="G8">
        <v>24</v>
      </c>
      <c r="H8">
        <v>59</v>
      </c>
      <c r="I8" t="b">
        <v>1</v>
      </c>
      <c r="J8" t="b">
        <v>1</v>
      </c>
    </row>
    <row r="9" spans="1:10" x14ac:dyDescent="0.25">
      <c r="A9" t="s">
        <v>51</v>
      </c>
      <c r="B9">
        <v>-0.81990426129080696</v>
      </c>
      <c r="C9" s="11">
        <v>40738</v>
      </c>
      <c r="D9" s="11">
        <v>41177</v>
      </c>
      <c r="E9" s="11">
        <v>41527</v>
      </c>
      <c r="F9">
        <v>543</v>
      </c>
      <c r="G9">
        <v>304</v>
      </c>
      <c r="H9">
        <v>239</v>
      </c>
      <c r="I9" t="b">
        <v>1</v>
      </c>
      <c r="J9" t="b">
        <v>1</v>
      </c>
    </row>
    <row r="10" spans="1:10" x14ac:dyDescent="0.25">
      <c r="A10" t="s">
        <v>54</v>
      </c>
      <c r="B10">
        <v>-0.56082388719933596</v>
      </c>
      <c r="C10" s="11">
        <v>43375</v>
      </c>
      <c r="D10" s="11">
        <v>43458</v>
      </c>
      <c r="E10" s="11">
        <v>43875</v>
      </c>
      <c r="F10">
        <v>345</v>
      </c>
      <c r="G10">
        <v>58</v>
      </c>
      <c r="H10">
        <v>287</v>
      </c>
      <c r="I10" t="b">
        <v>1</v>
      </c>
      <c r="J10" t="b">
        <v>1</v>
      </c>
    </row>
    <row r="11" spans="1:10" x14ac:dyDescent="0.25">
      <c r="A11" t="s">
        <v>56</v>
      </c>
      <c r="B11">
        <v>-0.60626539643783595</v>
      </c>
      <c r="C11" s="11">
        <v>43881</v>
      </c>
      <c r="D11" s="11">
        <v>43908</v>
      </c>
      <c r="E11" s="11">
        <v>43990</v>
      </c>
      <c r="F11">
        <v>76</v>
      </c>
      <c r="G11">
        <v>20</v>
      </c>
      <c r="H11">
        <v>56</v>
      </c>
      <c r="I11" t="b">
        <v>1</v>
      </c>
      <c r="J11" t="b">
        <v>1</v>
      </c>
    </row>
    <row r="12" spans="1:10" x14ac:dyDescent="0.25">
      <c r="A12" t="s">
        <v>6</v>
      </c>
      <c r="B12">
        <v>-0.42537683104963703</v>
      </c>
      <c r="C12" s="11">
        <v>43881</v>
      </c>
      <c r="D12" s="11">
        <v>43908</v>
      </c>
      <c r="E12" s="11">
        <v>43971</v>
      </c>
      <c r="F12">
        <v>64</v>
      </c>
      <c r="G12">
        <v>20</v>
      </c>
      <c r="H12">
        <v>44</v>
      </c>
      <c r="I12" t="b">
        <v>1</v>
      </c>
      <c r="J12" t="b">
        <v>1</v>
      </c>
    </row>
    <row r="13" spans="1:10" x14ac:dyDescent="0.25">
      <c r="A13" t="s">
        <v>62</v>
      </c>
      <c r="B13">
        <v>-0.374647887323943</v>
      </c>
      <c r="C13" s="11">
        <v>32792</v>
      </c>
      <c r="D13" s="11">
        <v>33157</v>
      </c>
      <c r="E13" s="11">
        <v>33462</v>
      </c>
      <c r="F13">
        <v>464</v>
      </c>
      <c r="G13">
        <v>254</v>
      </c>
      <c r="H13">
        <v>210</v>
      </c>
      <c r="I13" t="b">
        <v>1</v>
      </c>
      <c r="J13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4A74-0242-4766-B08B-ECED0E1880FB}">
  <dimension ref="A1:K13"/>
  <sheetViews>
    <sheetView workbookViewId="0">
      <selection activeCell="I33" sqref="I33"/>
    </sheetView>
  </sheetViews>
  <sheetFormatPr defaultRowHeight="15" x14ac:dyDescent="0.25"/>
  <cols>
    <col min="2" max="2" width="12.7109375" bestFit="1" customWidth="1"/>
    <col min="3" max="5" width="10.7109375" bestFit="1" customWidth="1"/>
    <col min="6" max="6" width="6.7109375" bestFit="1" customWidth="1"/>
    <col min="7" max="7" width="13.140625" bestFit="1" customWidth="1"/>
    <col min="8" max="8" width="8.7109375" bestFit="1" customWidth="1"/>
    <col min="9" max="9" width="11.28515625" bestFit="1" customWidth="1"/>
    <col min="10" max="10" width="11.42578125" bestFit="1" customWidth="1"/>
    <col min="11" max="11" width="10.28515625" bestFit="1" customWidth="1"/>
  </cols>
  <sheetData>
    <row r="1" spans="1:11" x14ac:dyDescent="0.25">
      <c r="A1" t="s">
        <v>58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x14ac:dyDescent="0.25">
      <c r="A2" t="s">
        <v>35</v>
      </c>
      <c r="B2">
        <v>-0.32075187969924801</v>
      </c>
      <c r="C2" s="11">
        <v>42059</v>
      </c>
      <c r="D2" s="11">
        <v>42502</v>
      </c>
      <c r="E2" s="11">
        <v>42779</v>
      </c>
      <c r="F2">
        <v>498</v>
      </c>
      <c r="G2">
        <v>308</v>
      </c>
      <c r="H2">
        <v>190</v>
      </c>
      <c r="I2" t="b">
        <v>1</v>
      </c>
      <c r="J2" t="b">
        <v>1</v>
      </c>
      <c r="K2">
        <v>2</v>
      </c>
    </row>
    <row r="3" spans="1:11" x14ac:dyDescent="0.25">
      <c r="A3" t="s">
        <v>38</v>
      </c>
      <c r="B3">
        <v>-0.25529057316054998</v>
      </c>
      <c r="C3" s="11">
        <v>43375</v>
      </c>
      <c r="D3" s="11">
        <v>43458</v>
      </c>
      <c r="E3" s="11">
        <v>43578</v>
      </c>
      <c r="F3">
        <v>139</v>
      </c>
      <c r="G3">
        <v>58</v>
      </c>
      <c r="H3">
        <v>81</v>
      </c>
      <c r="I3" t="b">
        <v>1</v>
      </c>
      <c r="J3" t="b">
        <v>1</v>
      </c>
      <c r="K3">
        <v>0.6</v>
      </c>
    </row>
    <row r="4" spans="1:11" x14ac:dyDescent="0.25">
      <c r="A4" t="s">
        <v>40</v>
      </c>
      <c r="B4">
        <v>-0.564847270906359</v>
      </c>
      <c r="C4" s="11">
        <v>37911</v>
      </c>
      <c r="D4" s="11">
        <v>38940</v>
      </c>
      <c r="E4" s="11">
        <v>39198</v>
      </c>
      <c r="F4">
        <v>886</v>
      </c>
      <c r="G4">
        <v>710</v>
      </c>
      <c r="H4">
        <v>176</v>
      </c>
      <c r="I4" t="b">
        <v>1</v>
      </c>
      <c r="J4" t="b">
        <v>1</v>
      </c>
      <c r="K4">
        <v>3.5</v>
      </c>
    </row>
    <row r="5" spans="1:11" x14ac:dyDescent="0.25">
      <c r="A5" t="s">
        <v>43</v>
      </c>
      <c r="B5">
        <v>-0.70495767835550205</v>
      </c>
      <c r="C5" s="11">
        <v>39623</v>
      </c>
      <c r="D5" s="11">
        <v>39771</v>
      </c>
      <c r="E5" s="11">
        <v>40176</v>
      </c>
      <c r="F5">
        <v>383</v>
      </c>
      <c r="G5">
        <v>105</v>
      </c>
      <c r="H5">
        <v>278</v>
      </c>
      <c r="I5" t="b">
        <v>1</v>
      </c>
      <c r="J5" t="b">
        <v>1</v>
      </c>
      <c r="K5">
        <v>1.5</v>
      </c>
    </row>
    <row r="6" spans="1:11" x14ac:dyDescent="0.25">
      <c r="A6" t="s">
        <v>45</v>
      </c>
      <c r="B6">
        <v>-0.75667176610572795</v>
      </c>
      <c r="C6" s="11">
        <v>40847</v>
      </c>
      <c r="D6" s="11">
        <v>41213</v>
      </c>
      <c r="E6" s="11">
        <v>43256</v>
      </c>
      <c r="F6">
        <v>1659</v>
      </c>
      <c r="G6">
        <v>252</v>
      </c>
      <c r="H6">
        <v>1407</v>
      </c>
      <c r="I6" t="b">
        <v>1</v>
      </c>
      <c r="J6" t="b">
        <v>1</v>
      </c>
      <c r="K6">
        <v>6.6</v>
      </c>
    </row>
    <row r="7" spans="1:11" x14ac:dyDescent="0.25">
      <c r="A7" t="s">
        <v>47</v>
      </c>
      <c r="B7">
        <v>-0.260509703062894</v>
      </c>
      <c r="C7" s="11">
        <v>43355</v>
      </c>
      <c r="D7" s="11">
        <v>43458</v>
      </c>
      <c r="E7" s="11">
        <v>43657</v>
      </c>
      <c r="F7">
        <v>208</v>
      </c>
      <c r="G7">
        <v>72</v>
      </c>
      <c r="H7">
        <v>136</v>
      </c>
      <c r="I7" t="b">
        <v>1</v>
      </c>
      <c r="J7" t="b">
        <v>1</v>
      </c>
      <c r="K7">
        <v>0.8</v>
      </c>
    </row>
    <row r="8" spans="1:11" x14ac:dyDescent="0.25">
      <c r="A8" t="s">
        <v>49</v>
      </c>
      <c r="B8">
        <v>-0.187865349727877</v>
      </c>
      <c r="C8" s="11">
        <v>41957</v>
      </c>
      <c r="D8" s="11">
        <v>42096</v>
      </c>
      <c r="E8" s="11">
        <v>42300</v>
      </c>
      <c r="F8">
        <v>237</v>
      </c>
      <c r="G8">
        <v>95</v>
      </c>
      <c r="H8">
        <v>142</v>
      </c>
      <c r="I8" t="b">
        <v>1</v>
      </c>
      <c r="J8" t="b">
        <v>1</v>
      </c>
      <c r="K8">
        <v>0.9</v>
      </c>
    </row>
    <row r="9" spans="1:11" x14ac:dyDescent="0.25">
      <c r="A9" t="s">
        <v>51</v>
      </c>
      <c r="B9">
        <v>-0.81990426129080696</v>
      </c>
      <c r="C9" s="11">
        <v>40738</v>
      </c>
      <c r="D9" s="11">
        <v>41177</v>
      </c>
      <c r="E9" s="11">
        <v>41527</v>
      </c>
      <c r="F9">
        <v>543</v>
      </c>
      <c r="G9">
        <v>304</v>
      </c>
      <c r="H9">
        <v>239</v>
      </c>
      <c r="I9" t="b">
        <v>1</v>
      </c>
      <c r="J9" t="b">
        <v>1</v>
      </c>
      <c r="K9">
        <v>2.2000000000000002</v>
      </c>
    </row>
    <row r="10" spans="1:11" x14ac:dyDescent="0.25">
      <c r="A10" t="s">
        <v>54</v>
      </c>
      <c r="B10">
        <v>-0.56082388719933596</v>
      </c>
      <c r="C10" s="11">
        <v>43375</v>
      </c>
      <c r="D10" s="11">
        <v>43458</v>
      </c>
      <c r="E10" s="11">
        <v>43875</v>
      </c>
      <c r="F10">
        <v>345</v>
      </c>
      <c r="G10">
        <v>58</v>
      </c>
      <c r="H10">
        <v>287</v>
      </c>
      <c r="I10" t="b">
        <v>1</v>
      </c>
      <c r="J10" t="b">
        <v>1</v>
      </c>
      <c r="K10">
        <v>1.4</v>
      </c>
    </row>
    <row r="11" spans="1:11" x14ac:dyDescent="0.25">
      <c r="A11" t="s">
        <v>56</v>
      </c>
      <c r="B11">
        <v>-0.49772759054677601</v>
      </c>
      <c r="C11" s="11">
        <v>41887</v>
      </c>
      <c r="D11" s="11">
        <v>42410</v>
      </c>
      <c r="E11" s="11">
        <v>42828</v>
      </c>
      <c r="F11">
        <v>649</v>
      </c>
      <c r="G11">
        <v>361</v>
      </c>
      <c r="H11">
        <v>288</v>
      </c>
      <c r="I11" t="b">
        <v>1</v>
      </c>
      <c r="J11" t="b">
        <v>1</v>
      </c>
      <c r="K11">
        <v>2.6</v>
      </c>
    </row>
    <row r="12" spans="1:11" x14ac:dyDescent="0.25">
      <c r="A12" t="s">
        <v>6</v>
      </c>
      <c r="B12">
        <v>-0.28893364422052598</v>
      </c>
      <c r="C12" s="11">
        <v>43347</v>
      </c>
      <c r="D12" s="11">
        <v>43458</v>
      </c>
      <c r="E12" s="11">
        <v>43558</v>
      </c>
      <c r="F12">
        <v>146</v>
      </c>
      <c r="G12">
        <v>78</v>
      </c>
      <c r="H12">
        <v>68</v>
      </c>
      <c r="I12" t="b">
        <v>1</v>
      </c>
      <c r="J12" t="b">
        <v>1</v>
      </c>
      <c r="K12">
        <v>0.6</v>
      </c>
    </row>
    <row r="13" spans="1:11" x14ac:dyDescent="0.25">
      <c r="A13" t="s">
        <v>62</v>
      </c>
      <c r="B13">
        <v>-0.374647887323943</v>
      </c>
      <c r="C13" s="11">
        <v>32792</v>
      </c>
      <c r="D13" s="11">
        <v>33157</v>
      </c>
      <c r="E13" s="11">
        <v>33462</v>
      </c>
      <c r="F13">
        <v>464</v>
      </c>
      <c r="G13">
        <v>254</v>
      </c>
      <c r="H13">
        <v>210</v>
      </c>
      <c r="I13" t="b">
        <v>1</v>
      </c>
      <c r="J13" t="b">
        <v>1</v>
      </c>
      <c r="K1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nx.in.40</vt:lpstr>
      <vt:lpstr>nx.in.40.summary</vt:lpstr>
      <vt:lpstr>nx.in.n</vt:lpstr>
      <vt:lpstr>10x.over.time</vt:lpstr>
      <vt:lpstr>Top5</vt:lpstr>
      <vt:lpstr>nx.in.x.alternatives</vt:lpstr>
      <vt:lpstr>BRK.Annual</vt:lpstr>
      <vt:lpstr>Model</vt:lpstr>
      <vt:lpstr>pop-10x-meta</vt:lpstr>
      <vt:lpstr>pop-drawdown-summary</vt:lpstr>
      <vt:lpstr>pop-drawdown-worst</vt:lpstr>
      <vt:lpstr>pop-drawdown-longest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Doepp</dc:creator>
  <cp:keywords/>
  <dc:description/>
  <cp:lastModifiedBy>Bill</cp:lastModifiedBy>
  <cp:revision/>
  <dcterms:created xsi:type="dcterms:W3CDTF">2021-04-11T00:57:53Z</dcterms:created>
  <dcterms:modified xsi:type="dcterms:W3CDTF">2021-07-08T22:54:48Z</dcterms:modified>
  <cp:category/>
  <cp:contentStatus/>
</cp:coreProperties>
</file>