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EPF calculation" sheetId="7" r:id="rId1"/>
    <sheet name="EPF upload file" sheetId="8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8"/>
  <c r="I38" i="7"/>
  <c r="F63"/>
  <c r="G63" s="1"/>
  <c r="K56"/>
  <c r="J55"/>
  <c r="K52"/>
  <c r="J51"/>
  <c r="I35"/>
  <c r="F31"/>
  <c r="E17"/>
  <c r="E12"/>
  <c r="E7"/>
  <c r="D2" i="8" l="1"/>
  <c r="I2"/>
  <c r="K55" i="7"/>
  <c r="E27"/>
  <c r="H63"/>
  <c r="I63" s="1"/>
  <c r="K63" s="1"/>
  <c r="E31"/>
  <c r="F20"/>
  <c r="H20" s="1"/>
  <c r="E21"/>
  <c r="G30"/>
  <c r="F5"/>
  <c r="G5" s="1"/>
  <c r="H30"/>
  <c r="F25"/>
  <c r="H25" s="1"/>
  <c r="F14"/>
  <c r="F10"/>
  <c r="F12" s="1"/>
  <c r="E2" i="8" l="1"/>
  <c r="F2" s="1"/>
  <c r="H2"/>
  <c r="G14" i="7"/>
  <c r="I14" s="1"/>
  <c r="F17"/>
  <c r="H14"/>
  <c r="H17" s="1"/>
  <c r="G20"/>
  <c r="J20" s="1"/>
  <c r="G25"/>
  <c r="J25" s="1"/>
  <c r="E32"/>
  <c r="G7"/>
  <c r="J5"/>
  <c r="J7" s="1"/>
  <c r="I5"/>
  <c r="I7" s="1"/>
  <c r="I30"/>
  <c r="G31"/>
  <c r="J30"/>
  <c r="J31" s="1"/>
  <c r="H27"/>
  <c r="E43" s="1"/>
  <c r="F27"/>
  <c r="F21"/>
  <c r="H21"/>
  <c r="G10"/>
  <c r="H10"/>
  <c r="F7"/>
  <c r="H5"/>
  <c r="H31"/>
  <c r="J14" l="1"/>
  <c r="J17" s="1"/>
  <c r="G27"/>
  <c r="I17"/>
  <c r="G17"/>
  <c r="I20"/>
  <c r="K20" s="1"/>
  <c r="I25"/>
  <c r="K25" s="1"/>
  <c r="I31"/>
  <c r="K14"/>
  <c r="F32"/>
  <c r="K5"/>
  <c r="K7" s="1"/>
  <c r="H7"/>
  <c r="G12"/>
  <c r="J10"/>
  <c r="J12" s="1"/>
  <c r="I10"/>
  <c r="I12" s="1"/>
  <c r="H12"/>
  <c r="J27"/>
  <c r="K30"/>
  <c r="K31" s="1"/>
  <c r="G21"/>
  <c r="K27" l="1"/>
  <c r="K17"/>
  <c r="J21"/>
  <c r="J32" s="1"/>
  <c r="I36" s="1"/>
  <c r="K10"/>
  <c r="K12" s="1"/>
  <c r="H32"/>
  <c r="I27"/>
  <c r="F43" s="1"/>
  <c r="I21"/>
  <c r="G32"/>
  <c r="I37" s="1"/>
  <c r="K21"/>
  <c r="E42"/>
  <c r="E44" s="1"/>
  <c r="G45" s="1"/>
  <c r="F42" l="1"/>
  <c r="F44" s="1"/>
  <c r="K32"/>
  <c r="G44"/>
  <c r="I32"/>
  <c r="I34" s="1"/>
  <c r="G43" l="1"/>
  <c r="H43" s="1"/>
  <c r="I43" s="1"/>
  <c r="J54" s="1"/>
  <c r="J57" s="1"/>
  <c r="I39"/>
  <c r="G42"/>
  <c r="H42" s="1"/>
  <c r="H44" l="1"/>
  <c r="G46" s="1"/>
  <c r="I46" s="1"/>
  <c r="I42"/>
  <c r="I44" l="1"/>
  <c r="J50"/>
  <c r="J53" s="1"/>
</calcChain>
</file>

<file path=xl/sharedStrings.xml><?xml version="1.0" encoding="utf-8"?>
<sst xmlns="http://schemas.openxmlformats.org/spreadsheetml/2006/main" count="76" uniqueCount="71">
  <si>
    <t>UAN</t>
  </si>
  <si>
    <t>Name of the Employee</t>
  </si>
  <si>
    <t>PF A/c. No.</t>
  </si>
  <si>
    <t xml:space="preserve"> Basic </t>
  </si>
  <si>
    <t xml:space="preserve"> D.A </t>
  </si>
  <si>
    <t xml:space="preserve"> Total Basic &amp; D.A </t>
  </si>
  <si>
    <t xml:space="preserve"> E.P.F  (Employees) </t>
  </si>
  <si>
    <t xml:space="preserve"> E.P.F Employeer 3.67 (Employer) </t>
  </si>
  <si>
    <t xml:space="preserve"> Pension 8.33%</t>
  </si>
  <si>
    <t xml:space="preserve"> Total EPF Payable  </t>
  </si>
  <si>
    <t>Steven Paul</t>
  </si>
  <si>
    <t>Total - F</t>
  </si>
  <si>
    <t xml:space="preserve"> </t>
  </si>
  <si>
    <t xml:space="preserve">Total - (A+B+C+D) </t>
  </si>
  <si>
    <t>Particulars</t>
  </si>
  <si>
    <t>Amount</t>
  </si>
  <si>
    <t>A/C No 1: Employees +Employer's Share</t>
  </si>
  <si>
    <t>A/C No 2: Administration Charges</t>
  </si>
  <si>
    <t>A/C No 10: Employer's share - Pension</t>
  </si>
  <si>
    <t xml:space="preserve">A/C No: 21 </t>
  </si>
  <si>
    <t>A/C No. 22</t>
  </si>
  <si>
    <t xml:space="preserve">Total </t>
  </si>
  <si>
    <t xml:space="preserve">Particulars </t>
  </si>
  <si>
    <t>Employees</t>
  </si>
  <si>
    <t>Employer's Contribution (B)</t>
  </si>
  <si>
    <t>Total (B)</t>
  </si>
  <si>
    <t>FCRA</t>
  </si>
  <si>
    <t xml:space="preserve">LOCAL </t>
  </si>
  <si>
    <t xml:space="preserve">Total payable </t>
  </si>
  <si>
    <t>Employees Contribution</t>
  </si>
  <si>
    <t xml:space="preserve">Employers Contribution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</si>
  <si>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</si>
  <si>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Emloyers contribution </t>
  </si>
  <si>
    <t>Local General Admin</t>
  </si>
  <si>
    <t>EPF FC</t>
  </si>
  <si>
    <t>Paper Unit</t>
  </si>
  <si>
    <t>PT FC</t>
  </si>
  <si>
    <t>General Admin FC</t>
  </si>
  <si>
    <t>TDS FC</t>
  </si>
  <si>
    <t>Fc CRC</t>
  </si>
  <si>
    <t>Bandhavi Koppal</t>
  </si>
  <si>
    <t>EPF Local</t>
  </si>
  <si>
    <t>Theater</t>
  </si>
  <si>
    <t>PT Local</t>
  </si>
  <si>
    <t>RMWC</t>
  </si>
  <si>
    <t>TDS Local</t>
  </si>
  <si>
    <t>CMCJ</t>
  </si>
  <si>
    <t>FC education</t>
  </si>
  <si>
    <t>CREA</t>
  </si>
  <si>
    <t>RLC</t>
  </si>
  <si>
    <t>Savitri K</t>
  </si>
  <si>
    <t>EPF Calculation for the month of February 2022</t>
  </si>
  <si>
    <t>PU College</t>
  </si>
  <si>
    <t>Tamil Medium</t>
  </si>
  <si>
    <t>English Medium</t>
  </si>
  <si>
    <t>Primary School</t>
  </si>
  <si>
    <t>Management</t>
  </si>
  <si>
    <t>ABC</t>
  </si>
  <si>
    <t>XYZ</t>
  </si>
  <si>
    <t>EFG</t>
  </si>
  <si>
    <t>MEMBER NAME</t>
  </si>
  <si>
    <t>GROSS WAGES</t>
  </si>
  <si>
    <t>EPF WAGES</t>
  </si>
  <si>
    <t>EPS WAGES</t>
  </si>
  <si>
    <t>EDLI WAGES</t>
  </si>
  <si>
    <t>EPF CONTRI REMITTED</t>
  </si>
  <si>
    <t>EPS CONTRI REMITTED</t>
  </si>
  <si>
    <t>EPF EPS DIFF REMITTED</t>
  </si>
  <si>
    <t>NCP DAYS</t>
  </si>
  <si>
    <t>REFUND OF ADVANCES</t>
  </si>
  <si>
    <t>101747255341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</si>
</sst>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* #,##0.00\ ;* \(#,##0.00\);* \-#\ ;@\ "/>
    <numFmt numFmtId="165" formatCode="* #,##0\ ;* \(#,##0\);* \-#\ ;@\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indexed="1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2">
    <xf numFmtId="0" fontId="0" fillId="0" borderId="0" xfId="0"/>
    <xf numFmtId="165" fontId="4" fillId="2" borderId="0" xfId="1" applyNumberFormat="1" applyFont="1" applyFill="1" applyBorder="1" applyAlignment="1" applyProtection="1"/>
    <xf numFmtId="165" fontId="7" fillId="2" borderId="2" xfId="1" applyNumberFormat="1" applyFont="1" applyFill="1" applyBorder="1" applyAlignment="1" applyProtection="1">
      <alignment vertical="center" wrapText="1"/>
    </xf>
    <xf numFmtId="165" fontId="4" fillId="2" borderId="4" xfId="1" applyNumberFormat="1" applyFont="1" applyFill="1" applyBorder="1" applyAlignment="1" applyProtection="1">
      <alignment vertical="distributed" wrapText="1"/>
    </xf>
    <xf numFmtId="165" fontId="4" fillId="4" borderId="1" xfId="1" applyNumberFormat="1" applyFont="1" applyFill="1" applyBorder="1" applyAlignment="1" applyProtection="1"/>
    <xf numFmtId="165" fontId="4" fillId="4" borderId="6" xfId="1" applyNumberFormat="1" applyFont="1" applyFill="1" applyBorder="1" applyAlignment="1" applyProtection="1"/>
    <xf numFmtId="165" fontId="8" fillId="4" borderId="1" xfId="1" applyNumberFormat="1" applyFont="1" applyFill="1" applyBorder="1" applyAlignment="1" applyProtection="1"/>
    <xf numFmtId="165" fontId="4" fillId="4" borderId="4" xfId="1" applyNumberFormat="1" applyFont="1" applyFill="1" applyBorder="1" applyAlignment="1" applyProtection="1"/>
    <xf numFmtId="0" fontId="4" fillId="3" borderId="3" xfId="0" applyFont="1" applyFill="1" applyBorder="1"/>
    <xf numFmtId="165" fontId="8" fillId="4" borderId="3" xfId="1" applyNumberFormat="1" applyFont="1" applyFill="1" applyBorder="1" applyAlignment="1" applyProtection="1"/>
    <xf numFmtId="165" fontId="4" fillId="4" borderId="3" xfId="1" applyNumberFormat="1" applyFont="1" applyFill="1" applyBorder="1" applyAlignment="1" applyProtection="1"/>
    <xf numFmtId="165" fontId="8" fillId="2" borderId="3" xfId="1" applyNumberFormat="1" applyFont="1" applyFill="1" applyBorder="1" applyAlignment="1" applyProtection="1"/>
    <xf numFmtId="165" fontId="8" fillId="2" borderId="3" xfId="0" applyNumberFormat="1" applyFon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165" fontId="4" fillId="2" borderId="3" xfId="0" applyNumberFormat="1" applyFont="1" applyFill="1" applyBorder="1" applyAlignment="1">
      <alignment wrapText="1"/>
    </xf>
    <xf numFmtId="1" fontId="0" fillId="2" borderId="3" xfId="0" applyNumberFormat="1" applyFill="1" applyBorder="1"/>
    <xf numFmtId="1" fontId="5" fillId="2" borderId="3" xfId="0" applyNumberFormat="1" applyFont="1" applyFill="1" applyBorder="1"/>
    <xf numFmtId="165" fontId="0" fillId="2" borderId="3" xfId="0" applyNumberFormat="1" applyFill="1" applyBorder="1" applyAlignment="1">
      <alignment horizontal="right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165" fontId="7" fillId="2" borderId="2" xfId="1" applyNumberFormat="1" applyFont="1" applyFill="1" applyBorder="1" applyAlignment="1" applyProtection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 shrinkToFit="1"/>
    </xf>
    <xf numFmtId="0" fontId="0" fillId="2" borderId="4" xfId="0" applyFill="1" applyBorder="1" applyAlignment="1">
      <alignment vertical="distributed" wrapText="1"/>
    </xf>
    <xf numFmtId="0" fontId="5" fillId="2" borderId="3" xfId="0" applyFont="1" applyFill="1" applyBorder="1" applyAlignment="1">
      <alignment horizontal="center" vertical="distributed" wrapText="1"/>
    </xf>
    <xf numFmtId="0" fontId="4" fillId="4" borderId="0" xfId="0" applyFont="1" applyFill="1"/>
    <xf numFmtId="0" fontId="8" fillId="5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165" fontId="4" fillId="4" borderId="1" xfId="1" applyNumberFormat="1" applyFont="1" applyFill="1" applyBorder="1" applyAlignment="1" applyProtection="1">
      <alignment horizontal="center"/>
    </xf>
    <xf numFmtId="165" fontId="4" fillId="4" borderId="1" xfId="0" applyNumberFormat="1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/>
    <xf numFmtId="165" fontId="4" fillId="4" borderId="6" xfId="1" applyNumberFormat="1" applyFont="1" applyFill="1" applyBorder="1" applyAlignment="1" applyProtection="1">
      <alignment horizontal="center"/>
    </xf>
    <xf numFmtId="0" fontId="8" fillId="2" borderId="4" xfId="0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0" fontId="4" fillId="4" borderId="4" xfId="0" applyFont="1" applyFill="1" applyBorder="1"/>
    <xf numFmtId="165" fontId="4" fillId="4" borderId="5" xfId="0" applyNumberFormat="1" applyFont="1" applyFill="1" applyBorder="1"/>
    <xf numFmtId="0" fontId="4" fillId="4" borderId="3" xfId="0" applyFont="1" applyFill="1" applyBorder="1"/>
    <xf numFmtId="165" fontId="4" fillId="4" borderId="0" xfId="1" applyNumberFormat="1" applyFont="1" applyFill="1" applyBorder="1" applyAlignment="1" applyProtection="1"/>
    <xf numFmtId="0" fontId="8" fillId="4" borderId="1" xfId="0" applyFont="1" applyFill="1" applyBorder="1" applyAlignment="1">
      <alignment horizontal="center"/>
    </xf>
    <xf numFmtId="0" fontId="8" fillId="4" borderId="4" xfId="0" applyFont="1" applyFill="1" applyBorder="1"/>
    <xf numFmtId="0" fontId="8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5" fontId="4" fillId="4" borderId="3" xfId="0" applyNumberFormat="1" applyFont="1" applyFill="1" applyBorder="1"/>
    <xf numFmtId="0" fontId="4" fillId="5" borderId="0" xfId="0" applyFont="1" applyFill="1"/>
    <xf numFmtId="0" fontId="8" fillId="4" borderId="3" xfId="0" applyFont="1" applyFill="1" applyBorder="1"/>
    <xf numFmtId="0" fontId="8" fillId="4" borderId="3" xfId="0" applyFont="1" applyFill="1" applyBorder="1" applyAlignment="1">
      <alignment horizontal="center"/>
    </xf>
    <xf numFmtId="165" fontId="8" fillId="4" borderId="3" xfId="1" applyNumberFormat="1" applyFont="1" applyFill="1" applyBorder="1" applyAlignment="1" applyProtection="1">
      <alignment horizontal="center"/>
    </xf>
    <xf numFmtId="165" fontId="8" fillId="4" borderId="3" xfId="0" applyNumberFormat="1" applyFont="1" applyFill="1" applyBorder="1"/>
    <xf numFmtId="165" fontId="4" fillId="4" borderId="3" xfId="1" applyNumberFormat="1" applyFont="1" applyFill="1" applyBorder="1" applyAlignment="1" applyProtection="1">
      <alignment horizontal="center"/>
    </xf>
    <xf numFmtId="0" fontId="8" fillId="5" borderId="3" xfId="0" applyFont="1" applyFill="1" applyBorder="1"/>
    <xf numFmtId="1" fontId="4" fillId="5" borderId="3" xfId="1" applyNumberFormat="1" applyFont="1" applyFill="1" applyBorder="1" applyAlignment="1" applyProtection="1"/>
    <xf numFmtId="0" fontId="4" fillId="4" borderId="2" xfId="0" applyFont="1" applyFill="1" applyBorder="1"/>
    <xf numFmtId="165" fontId="4" fillId="4" borderId="2" xfId="1" applyNumberFormat="1" applyFont="1" applyFill="1" applyBorder="1" applyAlignment="1" applyProtection="1"/>
    <xf numFmtId="165" fontId="4" fillId="4" borderId="2" xfId="0" applyNumberFormat="1" applyFont="1" applyFill="1" applyBorder="1"/>
    <xf numFmtId="0" fontId="8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/>
    <xf numFmtId="0" fontId="8" fillId="2" borderId="3" xfId="0" applyFont="1" applyFill="1" applyBorder="1" applyAlignment="1">
      <alignment horizontal="center" wrapText="1"/>
    </xf>
    <xf numFmtId="165" fontId="8" fillId="2" borderId="3" xfId="0" applyNumberFormat="1" applyFont="1" applyFill="1" applyBorder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165" fontId="4" fillId="2" borderId="3" xfId="0" applyNumberFormat="1" applyFont="1" applyFill="1" applyBorder="1" applyAlignment="1">
      <alignment horizontal="left" indent="1"/>
    </xf>
    <xf numFmtId="165" fontId="4" fillId="2" borderId="0" xfId="0" applyNumberFormat="1" applyFont="1" applyFill="1" applyAlignment="1">
      <alignment horizontal="left" indent="1"/>
    </xf>
    <xf numFmtId="165" fontId="4" fillId="2" borderId="3" xfId="0" applyNumberFormat="1" applyFont="1" applyFill="1" applyBorder="1"/>
    <xf numFmtId="165" fontId="4" fillId="2" borderId="0" xfId="0" applyNumberFormat="1" applyFont="1" applyFill="1" applyAlignment="1">
      <alignment horizontal="right" indent="1"/>
    </xf>
    <xf numFmtId="165" fontId="4" fillId="2" borderId="0" xfId="0" applyNumberFormat="1" applyFont="1" applyFill="1"/>
    <xf numFmtId="0" fontId="3" fillId="2" borderId="3" xfId="0" applyFont="1" applyFill="1" applyBorder="1" applyAlignment="1">
      <alignment horizontal="fill" wrapText="1"/>
    </xf>
    <xf numFmtId="0" fontId="3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vertical="distributed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165" fontId="0" fillId="2" borderId="3" xfId="0" applyNumberFormat="1" applyFill="1" applyBorder="1"/>
    <xf numFmtId="165" fontId="0" fillId="2" borderId="0" xfId="0" applyNumberFormat="1" applyFill="1"/>
    <xf numFmtId="164" fontId="4" fillId="2" borderId="0" xfId="0" applyNumberFormat="1" applyFont="1" applyFill="1"/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165" fontId="5" fillId="2" borderId="3" xfId="0" applyNumberFormat="1" applyFont="1" applyFill="1" applyBorder="1"/>
    <xf numFmtId="165" fontId="5" fillId="2" borderId="0" xfId="0" applyNumberFormat="1" applyFont="1" applyFill="1"/>
    <xf numFmtId="0" fontId="0" fillId="2" borderId="0" xfId="0" applyFill="1"/>
    <xf numFmtId="1" fontId="5" fillId="2" borderId="0" xfId="0" applyNumberFormat="1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5" fontId="8" fillId="2" borderId="0" xfId="0" applyNumberFormat="1" applyFont="1" applyFill="1"/>
    <xf numFmtId="165" fontId="1" fillId="4" borderId="5" xfId="1" applyNumberFormat="1" applyFill="1" applyBorder="1" applyAlignment="1" applyProtection="1"/>
    <xf numFmtId="0" fontId="4" fillId="5" borderId="1" xfId="0" applyFont="1" applyFill="1" applyBorder="1"/>
    <xf numFmtId="0" fontId="4" fillId="5" borderId="3" xfId="0" applyFont="1" applyFill="1" applyBorder="1"/>
    <xf numFmtId="0" fontId="9" fillId="6" borderId="0" xfId="0" applyFont="1" applyFill="1"/>
    <xf numFmtId="0" fontId="4" fillId="3" borderId="3" xfId="0" quotePrefix="1" applyFont="1" applyFill="1" applyBorder="1" applyAlignment="1">
      <alignment horizontal="center"/>
    </xf>
    <xf numFmtId="1" fontId="4" fillId="4" borderId="3" xfId="1" applyNumberFormat="1" applyFont="1" applyFill="1" applyBorder="1" applyAlignment="1" applyProtection="1"/>
    <xf numFmtId="1" fontId="4" fillId="3" borderId="3" xfId="1" applyNumberFormat="1" applyFont="1" applyFill="1" applyBorder="1" applyAlignment="1" applyProtection="1"/>
    <xf numFmtId="1" fontId="4" fillId="3" borderId="3" xfId="1" applyNumberFormat="1" applyFont="1" applyFill="1" applyBorder="1" applyAlignment="1" applyProtection="1">
      <alignment horizontal="center"/>
    </xf>
    <xf numFmtId="0" fontId="0" fillId="2" borderId="3" xfId="0" applyFill="1" applyBorder="1" applyAlignment="1">
      <alignment wrapText="1"/>
    </xf>
    <xf numFmtId="0" fontId="3" fillId="2" borderId="3" xfId="0" applyFont="1" applyFill="1" applyBorder="1" applyAlignment="1">
      <alignment horizontal="fill" wrapText="1"/>
    </xf>
    <xf numFmtId="0" fontId="8" fillId="2" borderId="3" xfId="0" applyFont="1" applyFill="1" applyBorder="1" applyAlignment="1">
      <alignment horizontal="center" vertical="distributed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s/Salaries/Salary%202021-2022/11%20Salary%20for%20the%20month%20of%20February%20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MPLOYEE RECORD FOR PF"/>
      <sheetName val="March Salary"/>
      <sheetName val="Fixation of Pay August 2012"/>
      <sheetName val="Pay as on April 11"/>
      <sheetName val="statement of increment "/>
      <sheetName val="Salary Arrears"/>
      <sheetName val="gross salary"/>
      <sheetName val="Fixation of Pay December 2012"/>
      <sheetName val="LEAVE ENCASHMENT"/>
      <sheetName val="CTC 2020-2021"/>
      <sheetName val="Pay scale April 2021 for budget"/>
      <sheetName val="E Transfer Amarinder (3)"/>
      <sheetName val="E Transfer Amarinder (2)"/>
      <sheetName val="Sheet2"/>
      <sheetName val="Pay scale April 2021"/>
      <sheetName val="Pay scale April 2017"/>
      <sheetName val="Payslips"/>
      <sheetName val="SIB (2)"/>
      <sheetName val="SIB"/>
      <sheetName val="SIB (3)"/>
      <sheetName val="SIB NEFT"/>
      <sheetName val="SIB SCHOLARSHIP"/>
      <sheetName val="KKS"/>
      <sheetName val="Arrears DS MK"/>
      <sheetName val="Covid Response"/>
      <sheetName val="February 2022"/>
      <sheetName val="February 2022 Contract staff"/>
      <sheetName val="SBT 1426"/>
      <sheetName val="SBT 1459"/>
      <sheetName val="NEFT Bulk uploadl letter kpl"/>
      <sheetName val="SBT 1426 (CREA Volunteer)"/>
      <sheetName val="SBT 1426  Covid Response"/>
      <sheetName val="NEFT CREA VOLUNTEER"/>
      <sheetName val="NEFT Covid"/>
      <sheetName val="E Transfer Steven"/>
      <sheetName val="E Transfer Vijaya Bnk Kthnr"/>
      <sheetName val="salaries Basavarj and Shekar"/>
      <sheetName val="E Transfer Amarinder"/>
      <sheetName val="E Transfer Basavaraj"/>
      <sheetName val="E Transfer Chandrasekar"/>
      <sheetName val="SBT 1459 NEFT LETTER"/>
      <sheetName val="SBT 1426 bulk upload"/>
      <sheetName val="NEFT DETAILS FC admn"/>
      <sheetName val="salry upload SBT 1459 NEFT"/>
      <sheetName val="salry upload SBT 1459"/>
      <sheetName val="salry upload SBT 1426"/>
      <sheetName val="Vijaya Bank Kothanur Loal CRC"/>
      <sheetName val="Vijaya Bank Kothanur FC CRC"/>
      <sheetName val="Vijaya Bank Kothanur FC  "/>
      <sheetName val="Vijaya   Bank RLC"/>
      <sheetName val="NEFT DETAILS"/>
      <sheetName val="Vijaya Bank Koppal"/>
      <sheetName val="EPF Calculation (3)"/>
      <sheetName val="EPF Calculation (2)"/>
      <sheetName val="EPF Calculation REVISED"/>
      <sheetName val="epf December 2021"/>
      <sheetName val="EPF chalan 1"/>
      <sheetName val="Leave Encashment Signatures"/>
      <sheetName val="Leave Encashment 201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M18">
            <v>400</v>
          </cell>
          <cell r="N18">
            <v>3746.7</v>
          </cell>
        </row>
      </sheetData>
      <sheetData sheetId="25">
        <row r="9">
          <cell r="R9">
            <v>200</v>
          </cell>
          <cell r="S9">
            <v>0</v>
          </cell>
        </row>
        <row r="13">
          <cell r="R13">
            <v>0</v>
          </cell>
          <cell r="S13">
            <v>0</v>
          </cell>
        </row>
        <row r="25">
          <cell r="R25">
            <v>800</v>
          </cell>
          <cell r="S25">
            <v>1092</v>
          </cell>
        </row>
        <row r="35">
          <cell r="R35">
            <v>200</v>
          </cell>
        </row>
        <row r="44">
          <cell r="R44">
            <v>400</v>
          </cell>
          <cell r="S44">
            <v>0</v>
          </cell>
        </row>
        <row r="53">
          <cell r="R53">
            <v>800</v>
          </cell>
          <cell r="S53">
            <v>0</v>
          </cell>
        </row>
      </sheetData>
      <sheetData sheetId="26">
        <row r="22">
          <cell r="S22">
            <v>6600</v>
          </cell>
        </row>
        <row r="23">
          <cell r="S23">
            <v>7200</v>
          </cell>
        </row>
        <row r="35">
          <cell r="R35">
            <v>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">
          <cell r="E21">
            <v>225156</v>
          </cell>
        </row>
      </sheetData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>
      <selection activeCell="J5" sqref="J5"/>
    </sheetView>
  </sheetViews>
  <sheetFormatPr defaultColWidth="9.140625" defaultRowHeight="11.25"/>
  <cols>
    <col min="1" max="1" width="5.7109375" style="18" customWidth="1"/>
    <col min="2" max="2" width="12.85546875" style="18" customWidth="1"/>
    <col min="3" max="3" width="7.42578125" style="18" customWidth="1"/>
    <col min="4" max="4" width="7.140625" style="88" customWidth="1"/>
    <col min="5" max="5" width="8.140625" style="1" customWidth="1"/>
    <col min="6" max="6" width="8.5703125" style="1" customWidth="1"/>
    <col min="7" max="7" width="7.7109375" style="1" customWidth="1"/>
    <col min="8" max="8" width="9.140625" style="1"/>
    <col min="9" max="10" width="10.140625" style="18" customWidth="1"/>
    <col min="11" max="11" width="9.85546875" style="18" customWidth="1"/>
    <col min="12" max="16384" width="9.140625" style="18"/>
  </cols>
  <sheetData>
    <row r="1" spans="1:11" ht="14.25" customHeight="1">
      <c r="B1" s="19" t="s">
        <v>51</v>
      </c>
      <c r="C1" s="19"/>
      <c r="D1" s="20"/>
    </row>
    <row r="2" spans="1:11" ht="51" customHeight="1">
      <c r="B2" s="21" t="s">
        <v>1</v>
      </c>
      <c r="C2" s="21"/>
      <c r="D2" s="22" t="s">
        <v>2</v>
      </c>
      <c r="E2" s="23" t="s">
        <v>3</v>
      </c>
      <c r="F2" s="2" t="s">
        <v>4</v>
      </c>
      <c r="G2" s="2" t="s">
        <v>5</v>
      </c>
      <c r="H2" s="2" t="s">
        <v>6</v>
      </c>
      <c r="I2" s="24" t="s">
        <v>7</v>
      </c>
      <c r="J2" s="24" t="s">
        <v>8</v>
      </c>
      <c r="K2" s="25" t="s">
        <v>9</v>
      </c>
    </row>
    <row r="3" spans="1:11" ht="12" customHeight="1">
      <c r="B3" s="26"/>
      <c r="C3" s="26"/>
      <c r="D3" s="27"/>
      <c r="E3" s="26"/>
      <c r="F3" s="26"/>
      <c r="G3" s="3"/>
      <c r="H3" s="26"/>
      <c r="I3" s="26"/>
      <c r="J3" s="26"/>
      <c r="K3" s="26"/>
    </row>
    <row r="4" spans="1:11" ht="11.25" customHeight="1">
      <c r="A4" s="28"/>
      <c r="B4" s="29" t="s">
        <v>52</v>
      </c>
      <c r="C4" s="30"/>
      <c r="D4" s="31"/>
      <c r="E4" s="4"/>
      <c r="F4" s="4"/>
      <c r="G4" s="4"/>
      <c r="H4" s="32"/>
      <c r="I4" s="4"/>
      <c r="J4" s="30"/>
      <c r="K4" s="33"/>
    </row>
    <row r="5" spans="1:11" ht="11.25" customHeight="1">
      <c r="A5" s="28">
        <v>1</v>
      </c>
      <c r="B5" s="92" t="s">
        <v>57</v>
      </c>
      <c r="C5" s="30"/>
      <c r="D5" s="31"/>
      <c r="E5" s="4">
        <v>5600</v>
      </c>
      <c r="F5" s="4">
        <f>E5*0.25</f>
        <v>1400</v>
      </c>
      <c r="G5" s="4">
        <f>ROUND(SUM(E5:F5),0)</f>
        <v>7000</v>
      </c>
      <c r="H5" s="32">
        <f>ROUND((E5+F5)*0.12,0)</f>
        <v>840</v>
      </c>
      <c r="I5" s="4">
        <f>ROUND(IF(ROUND(G5*0.0833,0)&gt;1250,ROUND(G5*0.0367,0)+(ROUND(G5*0.0833,0)-1250),ROUND(G5*0.0367,0)),0)</f>
        <v>257</v>
      </c>
      <c r="J5" s="30">
        <f>ROUND(IF(ROUND(G5*0.0833,0)&gt;1250,1250,ROUND(G5*0.0833,0)),0)</f>
        <v>583</v>
      </c>
      <c r="K5" s="33">
        <f>ROUND(H5+I5,0)</f>
        <v>1097</v>
      </c>
    </row>
    <row r="6" spans="1:11" ht="11.25" customHeight="1">
      <c r="A6" s="28"/>
      <c r="B6" s="92"/>
      <c r="C6" s="30"/>
      <c r="D6" s="31"/>
      <c r="E6" s="4"/>
      <c r="F6" s="4"/>
      <c r="G6" s="4"/>
      <c r="H6" s="32"/>
      <c r="I6" s="4"/>
      <c r="J6" s="30"/>
      <c r="K6" s="33"/>
    </row>
    <row r="7" spans="1:11" ht="11.25" customHeight="1">
      <c r="A7" s="28"/>
      <c r="B7" s="30"/>
      <c r="C7" s="30"/>
      <c r="D7" s="31"/>
      <c r="E7" s="6">
        <f>SUM(E5)</f>
        <v>5600</v>
      </c>
      <c r="F7" s="6">
        <f>SUM(F5)</f>
        <v>1400</v>
      </c>
      <c r="G7" s="6">
        <f>SUM(G5:G6)</f>
        <v>7000</v>
      </c>
      <c r="H7" s="6">
        <f>SUM(H5:H6)</f>
        <v>840</v>
      </c>
      <c r="I7" s="6">
        <f>SUM(I5:I6)</f>
        <v>257</v>
      </c>
      <c r="J7" s="6">
        <f>SUM(J5:J6)</f>
        <v>583</v>
      </c>
      <c r="K7" s="6">
        <f>SUM(K5:K6)</f>
        <v>1097</v>
      </c>
    </row>
    <row r="8" spans="1:11" ht="11.25" customHeight="1">
      <c r="A8" s="28"/>
      <c r="B8" s="38" t="s">
        <v>53</v>
      </c>
      <c r="C8" s="30"/>
      <c r="D8" s="31"/>
      <c r="E8" s="4"/>
      <c r="F8" s="4"/>
      <c r="G8" s="4"/>
      <c r="H8" s="32"/>
      <c r="I8" s="4"/>
      <c r="J8" s="30"/>
      <c r="K8" s="33"/>
    </row>
    <row r="9" spans="1:11" ht="11.25" customHeight="1">
      <c r="A9" s="28"/>
      <c r="B9" s="34"/>
      <c r="C9" s="34"/>
      <c r="D9" s="35"/>
      <c r="E9" s="36"/>
      <c r="F9" s="36"/>
      <c r="G9" s="36"/>
      <c r="H9" s="39"/>
      <c r="I9" s="7"/>
      <c r="J9" s="40"/>
      <c r="K9" s="41"/>
    </row>
    <row r="10" spans="1:11" ht="11.25" customHeight="1">
      <c r="A10" s="28">
        <v>1</v>
      </c>
      <c r="B10" s="34" t="s">
        <v>58</v>
      </c>
      <c r="C10" s="34"/>
      <c r="D10" s="35"/>
      <c r="E10" s="36">
        <v>5600</v>
      </c>
      <c r="F10" s="36">
        <f>E10*0.25</f>
        <v>1400</v>
      </c>
      <c r="G10" s="4">
        <f>ROUND(SUM(E10:F10),0)</f>
        <v>7000</v>
      </c>
      <c r="H10" s="37">
        <f>ROUND((E10+F10)*0.12,0)</f>
        <v>840</v>
      </c>
      <c r="I10" s="5">
        <f>ROUND(IF(ROUND(G10*0.0833,0)&gt;1250,ROUND(G10*0.0367,0)+(ROUND(G10*0.0833,0)-1250),ROUND(G10*0.0367,0)),0)</f>
        <v>257</v>
      </c>
      <c r="J10" s="42">
        <f>ROUND(IF(ROUND(G10*0.0833,0)&gt;1250,1250,ROUND(G10*0.0833,0)),0)</f>
        <v>583</v>
      </c>
      <c r="K10" s="33">
        <f>ROUND(H10+I10,0)</f>
        <v>1097</v>
      </c>
    </row>
    <row r="11" spans="1:11" ht="11.25" customHeight="1">
      <c r="A11" s="28"/>
      <c r="B11" s="34"/>
      <c r="C11" s="34"/>
      <c r="D11" s="35"/>
      <c r="E11" s="36"/>
      <c r="F11" s="36"/>
      <c r="G11" s="4"/>
      <c r="H11" s="32"/>
      <c r="I11" s="43"/>
      <c r="J11" s="28"/>
      <c r="K11" s="33"/>
    </row>
    <row r="12" spans="1:11" ht="11.25" customHeight="1">
      <c r="A12" s="28"/>
      <c r="B12" s="44"/>
      <c r="C12" s="44"/>
      <c r="D12" s="44"/>
      <c r="E12" s="6">
        <f t="shared" ref="E12:K12" si="0">SUM(E9:E10)</f>
        <v>5600</v>
      </c>
      <c r="F12" s="6">
        <f t="shared" si="0"/>
        <v>1400</v>
      </c>
      <c r="G12" s="6">
        <f t="shared" si="0"/>
        <v>7000</v>
      </c>
      <c r="H12" s="6">
        <f t="shared" si="0"/>
        <v>840</v>
      </c>
      <c r="I12" s="6">
        <f t="shared" si="0"/>
        <v>257</v>
      </c>
      <c r="J12" s="6">
        <f t="shared" si="0"/>
        <v>583</v>
      </c>
      <c r="K12" s="6">
        <f t="shared" si="0"/>
        <v>1097</v>
      </c>
    </row>
    <row r="13" spans="1:11" ht="11.25" customHeight="1">
      <c r="A13" s="28"/>
      <c r="B13" s="45" t="s">
        <v>54</v>
      </c>
      <c r="C13" s="45"/>
      <c r="D13" s="46"/>
      <c r="E13" s="7"/>
      <c r="F13" s="7"/>
      <c r="G13" s="7"/>
      <c r="H13" s="7"/>
      <c r="I13" s="40"/>
      <c r="J13" s="40"/>
      <c r="K13" s="40"/>
    </row>
    <row r="14" spans="1:11" s="49" customFormat="1" ht="11.25" customHeight="1">
      <c r="A14" s="28">
        <v>1</v>
      </c>
      <c r="B14" s="42" t="s">
        <v>59</v>
      </c>
      <c r="C14" s="42"/>
      <c r="D14" s="47"/>
      <c r="E14" s="10">
        <v>5600</v>
      </c>
      <c r="F14" s="36">
        <f>E14*0.25</f>
        <v>1400</v>
      </c>
      <c r="G14" s="10">
        <f>ROUND(SUM(E14:F14),0)</f>
        <v>7000</v>
      </c>
      <c r="H14" s="37">
        <f>ROUND((E14+F14)*0.12,0)</f>
        <v>840</v>
      </c>
      <c r="I14" s="5">
        <f>ROUND(IF(ROUND(G14*0.0833,0)&gt;1250,ROUND(G14*0.0367,0)+(ROUND(G14*0.0833,0)-1250),ROUND(G14*0.0367,0)),0)</f>
        <v>257</v>
      </c>
      <c r="J14" s="42">
        <f>ROUND(IF(ROUND(G14*0.0833,0)&gt;1250,1250,ROUND(G14*0.0833,0)),0)</f>
        <v>583</v>
      </c>
      <c r="K14" s="48">
        <f>ROUND(H14+I14,0)</f>
        <v>1097</v>
      </c>
    </row>
    <row r="15" spans="1:11" s="49" customFormat="1">
      <c r="A15" s="28">
        <v>3</v>
      </c>
      <c r="B15" s="42"/>
      <c r="C15" s="42"/>
      <c r="D15" s="47"/>
      <c r="E15" s="10"/>
      <c r="F15" s="36"/>
      <c r="G15" s="10"/>
      <c r="H15" s="37"/>
      <c r="I15" s="5"/>
      <c r="J15" s="42"/>
      <c r="K15" s="48"/>
    </row>
    <row r="16" spans="1:11" s="49" customFormat="1" ht="11.25" customHeight="1">
      <c r="A16" s="28">
        <v>4</v>
      </c>
      <c r="B16" s="30"/>
      <c r="C16" s="42"/>
      <c r="D16" s="47"/>
      <c r="E16" s="10"/>
      <c r="F16" s="36"/>
      <c r="G16" s="10"/>
      <c r="H16" s="37"/>
      <c r="I16" s="5"/>
      <c r="J16" s="42"/>
      <c r="K16" s="48"/>
    </row>
    <row r="17" spans="1:11" ht="11.25" customHeight="1">
      <c r="A17" s="28"/>
      <c r="B17" s="50"/>
      <c r="C17" s="50"/>
      <c r="D17" s="51"/>
      <c r="E17" s="9">
        <f t="shared" ref="E17:K17" si="1">SUM(E14:E16)</f>
        <v>5600</v>
      </c>
      <c r="F17" s="9">
        <f t="shared" si="1"/>
        <v>1400</v>
      </c>
      <c r="G17" s="9">
        <f t="shared" si="1"/>
        <v>7000</v>
      </c>
      <c r="H17" s="9">
        <f t="shared" si="1"/>
        <v>840</v>
      </c>
      <c r="I17" s="9">
        <f t="shared" si="1"/>
        <v>257</v>
      </c>
      <c r="J17" s="9">
        <f t="shared" si="1"/>
        <v>583</v>
      </c>
      <c r="K17" s="9">
        <f t="shared" si="1"/>
        <v>1097</v>
      </c>
    </row>
    <row r="18" spans="1:11" ht="11.25" customHeight="1">
      <c r="A18" s="28"/>
      <c r="B18" s="50"/>
      <c r="C18" s="50"/>
      <c r="D18" s="51"/>
      <c r="E18" s="9"/>
      <c r="F18" s="9"/>
      <c r="G18" s="9"/>
      <c r="H18" s="52"/>
      <c r="I18" s="9"/>
      <c r="J18" s="53"/>
      <c r="K18" s="53"/>
    </row>
    <row r="19" spans="1:11" ht="11.25" customHeight="1">
      <c r="A19" s="28"/>
      <c r="B19" s="50" t="s">
        <v>55</v>
      </c>
      <c r="C19" s="50"/>
      <c r="D19" s="51"/>
      <c r="E19" s="10"/>
      <c r="F19" s="10"/>
      <c r="G19" s="10"/>
      <c r="H19" s="54"/>
      <c r="I19" s="10"/>
      <c r="J19" s="48"/>
      <c r="K19" s="48"/>
    </row>
    <row r="20" spans="1:11" s="49" customFormat="1" ht="11.25" customHeight="1">
      <c r="A20" s="28">
        <v>5</v>
      </c>
      <c r="B20" s="42" t="s">
        <v>57</v>
      </c>
      <c r="C20" s="42"/>
      <c r="D20" s="47"/>
      <c r="E20" s="10">
        <v>5600</v>
      </c>
      <c r="F20" s="36">
        <f t="shared" ref="F20" si="2">E20*0.25</f>
        <v>1400</v>
      </c>
      <c r="G20" s="10">
        <f t="shared" ref="G20" si="3">ROUND(SUM(E20:F20),0)</f>
        <v>7000</v>
      </c>
      <c r="H20" s="37">
        <f t="shared" ref="H20" si="4">ROUND((E20+F20)*0.12,0)</f>
        <v>840</v>
      </c>
      <c r="I20" s="5">
        <f t="shared" ref="I20" si="5">ROUND(IF(ROUND(G20*0.0833,0)&gt;1250,ROUND(G20*0.0367,0)+(ROUND(G20*0.0833,0)-1250),ROUND(G20*0.0367,0)),0)</f>
        <v>257</v>
      </c>
      <c r="J20" s="42">
        <f t="shared" ref="J20" si="6">ROUND(IF(ROUND(G20*0.0833,0)&gt;1250,1250,ROUND(G20*0.0833,0)),0)</f>
        <v>583</v>
      </c>
      <c r="K20" s="48">
        <f t="shared" ref="K20" si="7">ROUND(H20+I20,0)</f>
        <v>1097</v>
      </c>
    </row>
    <row r="21" spans="1:11" ht="11.25" customHeight="1">
      <c r="A21" s="28"/>
      <c r="B21" s="51"/>
      <c r="C21" s="51"/>
      <c r="D21" s="51"/>
      <c r="E21" s="9">
        <f t="shared" ref="E21:K21" si="8">SUM(E20:E20)</f>
        <v>5600</v>
      </c>
      <c r="F21" s="9">
        <f t="shared" si="8"/>
        <v>1400</v>
      </c>
      <c r="G21" s="9">
        <f t="shared" si="8"/>
        <v>7000</v>
      </c>
      <c r="H21" s="9">
        <f t="shared" si="8"/>
        <v>840</v>
      </c>
      <c r="I21" s="9">
        <f t="shared" si="8"/>
        <v>257</v>
      </c>
      <c r="J21" s="9">
        <f t="shared" si="8"/>
        <v>583</v>
      </c>
      <c r="K21" s="9">
        <f t="shared" si="8"/>
        <v>1097</v>
      </c>
    </row>
    <row r="22" spans="1:11" ht="11.25" customHeight="1">
      <c r="A22" s="28"/>
      <c r="B22" s="51"/>
      <c r="C22" s="51"/>
      <c r="D22" s="51"/>
      <c r="E22" s="9"/>
      <c r="F22" s="9"/>
      <c r="G22" s="9"/>
      <c r="H22" s="9"/>
      <c r="I22" s="9"/>
      <c r="J22" s="9"/>
      <c r="K22" s="9"/>
    </row>
    <row r="23" spans="1:11" ht="11.25" customHeight="1">
      <c r="A23" s="28"/>
      <c r="B23" s="50"/>
      <c r="C23" s="42"/>
      <c r="D23" s="47"/>
      <c r="E23" s="9"/>
      <c r="F23" s="9"/>
      <c r="G23" s="9"/>
      <c r="H23" s="9"/>
      <c r="I23" s="9"/>
      <c r="J23" s="9"/>
      <c r="K23" s="9"/>
    </row>
    <row r="24" spans="1:11" ht="11.25" customHeight="1">
      <c r="A24" s="28"/>
      <c r="B24" s="50" t="s">
        <v>56</v>
      </c>
      <c r="C24" s="42"/>
      <c r="D24" s="47"/>
      <c r="E24" s="10"/>
      <c r="F24" s="10"/>
      <c r="G24" s="10"/>
      <c r="H24" s="54"/>
      <c r="I24" s="10"/>
      <c r="J24" s="42"/>
      <c r="K24" s="48"/>
    </row>
    <row r="25" spans="1:11" ht="11.25" customHeight="1">
      <c r="A25" s="28">
        <v>10</v>
      </c>
      <c r="B25" s="42" t="s">
        <v>57</v>
      </c>
      <c r="C25" s="42"/>
      <c r="D25" s="47"/>
      <c r="E25" s="10">
        <v>5600</v>
      </c>
      <c r="F25" s="36">
        <f>E25*0.25</f>
        <v>1400</v>
      </c>
      <c r="G25" s="10">
        <f t="shared" ref="G25" si="9">ROUND(SUM(E25:F25),0)</f>
        <v>7000</v>
      </c>
      <c r="H25" s="37">
        <f t="shared" ref="H25" si="10">ROUND((E25+F25)*0.12,0)</f>
        <v>840</v>
      </c>
      <c r="I25" s="5">
        <f>ROUND(IF(ROUND(G25*0.0833,0)&gt;1250,ROUND(G25*0.0367,0)+(ROUND(G25*0.0833,0)-1250),ROUND(G25*0.0367,0)),0)</f>
        <v>257</v>
      </c>
      <c r="J25" s="42">
        <f>ROUND(IF(ROUND(G25*0.0833,0)&gt;1250,1250,ROUND(G25*0.0833,0)),0)</f>
        <v>583</v>
      </c>
      <c r="K25" s="48">
        <f t="shared" ref="K25" si="11">ROUND(H25+I25,0)</f>
        <v>1097</v>
      </c>
    </row>
    <row r="26" spans="1:11" ht="11.25" customHeight="1">
      <c r="A26" s="28"/>
      <c r="B26" s="42"/>
      <c r="C26" s="42"/>
      <c r="D26" s="47"/>
      <c r="E26" s="10"/>
      <c r="F26" s="36"/>
      <c r="G26" s="10"/>
      <c r="H26" s="37"/>
      <c r="I26" s="5"/>
      <c r="J26" s="42"/>
      <c r="K26" s="48"/>
    </row>
    <row r="27" spans="1:11" ht="11.25" customHeight="1">
      <c r="A27" s="28"/>
      <c r="B27" s="60"/>
      <c r="C27" s="56"/>
      <c r="D27" s="47"/>
      <c r="E27" s="9">
        <f t="shared" ref="E27:K27" si="12">SUM(E25:E26)</f>
        <v>5600</v>
      </c>
      <c r="F27" s="9">
        <f t="shared" si="12"/>
        <v>1400</v>
      </c>
      <c r="G27" s="9">
        <f t="shared" si="12"/>
        <v>7000</v>
      </c>
      <c r="H27" s="9">
        <f t="shared" si="12"/>
        <v>840</v>
      </c>
      <c r="I27" s="9">
        <f t="shared" si="12"/>
        <v>257</v>
      </c>
      <c r="J27" s="9">
        <f t="shared" si="12"/>
        <v>583</v>
      </c>
      <c r="K27" s="9">
        <f t="shared" si="12"/>
        <v>1097</v>
      </c>
    </row>
    <row r="28" spans="1:11" ht="11.25" customHeight="1">
      <c r="A28" s="28"/>
      <c r="B28" s="61"/>
      <c r="C28" s="56"/>
      <c r="D28" s="47"/>
      <c r="E28" s="10"/>
      <c r="F28" s="10"/>
      <c r="G28" s="10"/>
      <c r="H28" s="54"/>
      <c r="I28" s="10"/>
      <c r="J28" s="42"/>
      <c r="K28" s="48"/>
    </row>
    <row r="29" spans="1:11" ht="11.25" customHeight="1">
      <c r="A29" s="28"/>
      <c r="B29" s="55" t="s">
        <v>26</v>
      </c>
      <c r="C29" s="56"/>
      <c r="D29" s="47"/>
      <c r="E29" s="10"/>
      <c r="F29" s="10"/>
      <c r="G29" s="10"/>
      <c r="H29" s="54"/>
      <c r="I29" s="10"/>
      <c r="J29" s="42"/>
      <c r="K29" s="48"/>
    </row>
    <row r="30" spans="1:11" ht="11.25" customHeight="1">
      <c r="A30" s="28"/>
      <c r="B30" s="93" t="s">
        <v>57</v>
      </c>
      <c r="C30" s="56"/>
      <c r="D30" s="47"/>
      <c r="E30" s="10">
        <v>5600</v>
      </c>
      <c r="F30" s="7"/>
      <c r="G30" s="58">
        <f>ROUND(SUM(E30:F30),0)</f>
        <v>5600</v>
      </c>
      <c r="H30" s="37">
        <f>ROUND((E30+F30)*0.12,0)</f>
        <v>672</v>
      </c>
      <c r="I30" s="5">
        <f>ROUND(IF(ROUND(G30*0.0833,0)&gt;1250,ROUND(G30*0.0367,0)+(ROUND(G30*0.0833,0)-1250),ROUND(G30*0.0367,0)),0)</f>
        <v>206</v>
      </c>
      <c r="J30" s="57">
        <f>ROUND(IF(ROUND(G30*0.0833,0)&gt;1250,1250,ROUND(G30*0.0833,0)),0)</f>
        <v>466</v>
      </c>
      <c r="K30" s="59">
        <f>ROUND(H30+I30,0)</f>
        <v>878</v>
      </c>
    </row>
    <row r="31" spans="1:11" ht="12" customHeight="1">
      <c r="B31" s="62" t="s">
        <v>11</v>
      </c>
      <c r="C31" s="62"/>
      <c r="D31" s="62"/>
      <c r="E31" s="11">
        <f t="shared" ref="E31:K31" si="13">SUM(E29:E30)</f>
        <v>5600</v>
      </c>
      <c r="F31" s="11">
        <f t="shared" si="13"/>
        <v>0</v>
      </c>
      <c r="G31" s="11">
        <f t="shared" si="13"/>
        <v>5600</v>
      </c>
      <c r="H31" s="11">
        <f t="shared" si="13"/>
        <v>672</v>
      </c>
      <c r="I31" s="11">
        <f t="shared" si="13"/>
        <v>206</v>
      </c>
      <c r="J31" s="11">
        <f t="shared" si="13"/>
        <v>466</v>
      </c>
      <c r="K31" s="11">
        <f t="shared" si="13"/>
        <v>878</v>
      </c>
    </row>
    <row r="32" spans="1:11" ht="11.25" customHeight="1">
      <c r="B32" s="63" t="s">
        <v>13</v>
      </c>
      <c r="C32" s="63"/>
      <c r="D32" s="62"/>
      <c r="E32" s="11">
        <f t="shared" ref="E32:K32" si="14">E12+E21+E31+E17+E27+E7</f>
        <v>33600</v>
      </c>
      <c r="F32" s="11">
        <f t="shared" si="14"/>
        <v>7000</v>
      </c>
      <c r="G32" s="11">
        <f t="shared" si="14"/>
        <v>40600</v>
      </c>
      <c r="H32" s="11">
        <f t="shared" si="14"/>
        <v>4872</v>
      </c>
      <c r="I32" s="11">
        <f t="shared" si="14"/>
        <v>1491</v>
      </c>
      <c r="J32" s="11">
        <f t="shared" si="14"/>
        <v>3381</v>
      </c>
      <c r="K32" s="11">
        <f t="shared" si="14"/>
        <v>6363</v>
      </c>
    </row>
    <row r="33" spans="1:11" ht="11.25" customHeight="1">
      <c r="B33" s="64" t="s">
        <v>14</v>
      </c>
      <c r="C33" s="64"/>
      <c r="D33" s="64"/>
      <c r="E33" s="12"/>
      <c r="F33" s="12"/>
      <c r="G33" s="12"/>
      <c r="H33" s="12"/>
      <c r="I33" s="65" t="s">
        <v>15</v>
      </c>
      <c r="J33" s="66"/>
    </row>
    <row r="34" spans="1:11" ht="45" customHeight="1">
      <c r="B34" s="67" t="s">
        <v>16</v>
      </c>
      <c r="C34" s="67"/>
      <c r="D34" s="68"/>
      <c r="E34" s="13"/>
      <c r="F34" s="13"/>
      <c r="G34" s="13"/>
      <c r="H34" s="13"/>
      <c r="I34" s="69">
        <f>H32+I32</f>
        <v>6363</v>
      </c>
      <c r="J34" s="70"/>
    </row>
    <row r="35" spans="1:11" ht="33.75" customHeight="1">
      <c r="B35" s="67" t="s">
        <v>17</v>
      </c>
      <c r="C35" s="67"/>
      <c r="D35" s="68"/>
      <c r="E35" s="13"/>
      <c r="F35" s="13"/>
      <c r="G35" s="13"/>
      <c r="H35" s="13"/>
      <c r="I35" s="69">
        <f>ROUND(('[1]epf December 2021'!E21*0.0085),0)</f>
        <v>1914</v>
      </c>
      <c r="J35" s="70"/>
    </row>
    <row r="36" spans="1:11" ht="33.75" customHeight="1">
      <c r="B36" s="67" t="s">
        <v>18</v>
      </c>
      <c r="C36" s="67"/>
      <c r="D36" s="68"/>
      <c r="E36" s="13"/>
      <c r="F36" s="13"/>
      <c r="G36" s="13"/>
      <c r="H36" s="13"/>
      <c r="I36" s="69">
        <f>ROUND(J32,0)</f>
        <v>3381</v>
      </c>
      <c r="J36" s="70"/>
    </row>
    <row r="37" spans="1:11" ht="11.25" customHeight="1">
      <c r="B37" s="67" t="s">
        <v>19</v>
      </c>
      <c r="C37" s="67"/>
      <c r="D37" s="68"/>
      <c r="E37" s="14"/>
      <c r="F37" s="14"/>
      <c r="G37" s="14"/>
      <c r="H37" s="14"/>
      <c r="I37" s="69">
        <f>ROUND((G32*0.004),0)</f>
        <v>162</v>
      </c>
      <c r="J37" s="70"/>
    </row>
    <row r="38" spans="1:11" ht="11.25" customHeight="1">
      <c r="B38" s="67" t="s">
        <v>20</v>
      </c>
      <c r="C38" s="67"/>
      <c r="D38" s="68"/>
      <c r="E38" s="14"/>
      <c r="F38" s="14"/>
      <c r="G38" s="14"/>
      <c r="H38" s="14"/>
      <c r="I38" s="71">
        <f>IF(ROUND((G32*0.01%),0)&gt;500,(G32*0.01%),500)</f>
        <v>500</v>
      </c>
      <c r="J38" s="72"/>
      <c r="K38" s="73"/>
    </row>
    <row r="39" spans="1:11" ht="11.25" customHeight="1">
      <c r="B39" s="64" t="s">
        <v>21</v>
      </c>
      <c r="C39" s="64"/>
      <c r="D39" s="64"/>
      <c r="E39" s="12"/>
      <c r="F39" s="12"/>
      <c r="G39" s="12"/>
      <c r="H39" s="12"/>
      <c r="I39" s="65">
        <f>SUM(I34:I38)</f>
        <v>12320</v>
      </c>
      <c r="J39" s="66"/>
    </row>
    <row r="40" spans="1:11" ht="12" customHeight="1">
      <c r="B40" s="100" t="s">
        <v>22</v>
      </c>
      <c r="C40" s="74"/>
      <c r="D40" s="75"/>
      <c r="E40" s="101" t="s">
        <v>23</v>
      </c>
      <c r="F40" s="101" t="s">
        <v>24</v>
      </c>
      <c r="G40" s="101"/>
      <c r="H40" s="101" t="s">
        <v>25</v>
      </c>
      <c r="I40" s="101" t="s">
        <v>21</v>
      </c>
      <c r="J40" s="76"/>
    </row>
    <row r="41" spans="1:11" ht="12" customHeight="1">
      <c r="B41" s="100"/>
      <c r="C41" s="74"/>
      <c r="D41" s="75"/>
      <c r="E41" s="101"/>
      <c r="F41" s="101"/>
      <c r="G41" s="101"/>
      <c r="H41" s="101"/>
      <c r="I41" s="101"/>
      <c r="J41" s="76"/>
    </row>
    <row r="42" spans="1:11" ht="12.75" customHeight="1">
      <c r="B42" s="77" t="s">
        <v>26</v>
      </c>
      <c r="C42" s="77"/>
      <c r="D42" s="78"/>
      <c r="E42" s="79">
        <f>ROUND(H21+H17+H12+H7+H31,0)</f>
        <v>4032</v>
      </c>
      <c r="F42" s="79">
        <f>ROUND((I21+J21+I17+J17+I31+J31),0)+ROUND((I12+J12+I7+J7),0)</f>
        <v>4032</v>
      </c>
      <c r="G42" s="15">
        <f>ROUND((F42*G44)/F44,0)</f>
        <v>2132</v>
      </c>
      <c r="H42" s="79">
        <f>ROUND((F42+G42),0)</f>
        <v>6164</v>
      </c>
      <c r="I42" s="79">
        <f>ROUND(H42+E42,0)</f>
        <v>10196</v>
      </c>
      <c r="J42" s="80"/>
      <c r="K42" s="73"/>
    </row>
    <row r="43" spans="1:11" ht="12.75" customHeight="1">
      <c r="B43" s="77" t="s">
        <v>27</v>
      </c>
      <c r="C43" s="77"/>
      <c r="D43" s="78"/>
      <c r="E43" s="79">
        <f>+H27</f>
        <v>840</v>
      </c>
      <c r="F43" s="79">
        <f>ROUND((I27+J27),0)</f>
        <v>840</v>
      </c>
      <c r="G43" s="15">
        <f>ROUND((F43*G44/F44),0)</f>
        <v>444</v>
      </c>
      <c r="H43" s="79">
        <f>ROUND((F43+G43),0)</f>
        <v>1284</v>
      </c>
      <c r="I43" s="79">
        <f>ROUND(H43+E43,0)</f>
        <v>2124</v>
      </c>
      <c r="J43" s="80"/>
      <c r="K43" s="81"/>
    </row>
    <row r="44" spans="1:11" ht="12.75" customHeight="1">
      <c r="B44" s="82" t="s">
        <v>28</v>
      </c>
      <c r="C44" s="82"/>
      <c r="D44" s="83"/>
      <c r="E44" s="84">
        <f>ROUND(SUM(E42:E43),0)</f>
        <v>4872</v>
      </c>
      <c r="F44" s="84">
        <f>SUM(F42:F43)</f>
        <v>4872</v>
      </c>
      <c r="G44" s="16">
        <f>ROUND((I35+I37+I38),0)</f>
        <v>2576</v>
      </c>
      <c r="H44" s="84">
        <f>SUM(H42:H43)</f>
        <v>7448</v>
      </c>
      <c r="I44" s="84">
        <f>ROUND(SUM(I42:I43),0)</f>
        <v>12320</v>
      </c>
      <c r="J44" s="85"/>
    </row>
    <row r="45" spans="1:11" ht="12.75" customHeight="1">
      <c r="B45" s="99" t="s">
        <v>29</v>
      </c>
      <c r="C45" s="99"/>
      <c r="D45" s="99"/>
      <c r="E45" s="99"/>
      <c r="F45" s="99"/>
      <c r="G45" s="17">
        <f>E44</f>
        <v>4872</v>
      </c>
      <c r="H45" s="17"/>
      <c r="I45" s="77"/>
      <c r="J45" s="86"/>
    </row>
    <row r="46" spans="1:11" ht="13.5" customHeight="1">
      <c r="B46" s="99" t="s">
        <v>30</v>
      </c>
      <c r="C46" s="99"/>
      <c r="D46" s="99"/>
      <c r="E46" s="99"/>
      <c r="F46" s="99"/>
      <c r="G46" s="17">
        <f>H44</f>
        <v>7448</v>
      </c>
      <c r="H46" s="17"/>
      <c r="I46" s="16">
        <f>G45+G46</f>
        <v>12320</v>
      </c>
      <c r="J46" s="87"/>
    </row>
    <row r="47" spans="1:11" ht="12" customHeight="1">
      <c r="A47" s="18" t="s">
        <v>31</v>
      </c>
      <c r="I47" s="18" t="s">
        <v>12</v>
      </c>
    </row>
    <row r="48" spans="1:11" ht="11.25" customHeight="1">
      <c r="K48" s="73"/>
    </row>
    <row r="49" spans="1:11" ht="11.25" customHeight="1">
      <c r="B49" s="18" t="s">
        <v>32</v>
      </c>
    </row>
    <row r="50" spans="1:11" ht="11.25" customHeight="1">
      <c r="B50" s="18" t="s">
        <v>33</v>
      </c>
      <c r="D50" s="89"/>
      <c r="I50" s="18" t="s">
        <v>34</v>
      </c>
      <c r="J50" s="73">
        <f>I42</f>
        <v>10196</v>
      </c>
      <c r="K50" s="73"/>
    </row>
    <row r="51" spans="1:11" ht="11.25" customHeight="1">
      <c r="B51" s="18" t="s">
        <v>35</v>
      </c>
      <c r="D51" s="89"/>
      <c r="I51" s="18" t="s">
        <v>36</v>
      </c>
      <c r="J51" s="18">
        <f>'[1]February 2022'!R9+'[1]February 2022'!R13+'[1]February 2022'!R25+'[1]February 2022'!R53+'[1]Covid Response'!M18+'[1]February 2022 Contract staff'!R35</f>
        <v>2200</v>
      </c>
    </row>
    <row r="52" spans="1:11" ht="11.25" customHeight="1">
      <c r="B52" s="18" t="s">
        <v>37</v>
      </c>
      <c r="D52" s="89"/>
      <c r="I52" s="73" t="s">
        <v>38</v>
      </c>
      <c r="K52" s="18">
        <f>'[1]February 2022'!S9+'[1]February 2022'!S13+'[1]February 2022'!S25+'[1]February 2022'!S44+'[1]February 2022'!S53+'[1]February 2022 Contract staff'!S22+'[1]Covid Response'!N18</f>
        <v>11438.7</v>
      </c>
    </row>
    <row r="53" spans="1:11" ht="11.25" customHeight="1">
      <c r="B53" s="18" t="s">
        <v>39</v>
      </c>
      <c r="D53" s="89"/>
      <c r="J53" s="90">
        <f>SUM(J50:J52)</f>
        <v>12396</v>
      </c>
      <c r="K53" s="73"/>
    </row>
    <row r="54" spans="1:11" ht="11.25" customHeight="1">
      <c r="B54" s="18" t="s">
        <v>40</v>
      </c>
      <c r="D54" s="89"/>
      <c r="I54" s="18" t="s">
        <v>41</v>
      </c>
      <c r="J54" s="73">
        <f>I43</f>
        <v>2124</v>
      </c>
    </row>
    <row r="55" spans="1:11" ht="11.25" customHeight="1">
      <c r="B55" s="18" t="s">
        <v>42</v>
      </c>
      <c r="D55" s="89"/>
      <c r="I55" s="18" t="s">
        <v>43</v>
      </c>
      <c r="J55" s="18">
        <f>'[1]February 2022'!R35+'[1]February 2022'!R44</f>
        <v>600</v>
      </c>
      <c r="K55" s="18">
        <f>J55+J51</f>
        <v>2800</v>
      </c>
    </row>
    <row r="56" spans="1:11" ht="11.25" customHeight="1">
      <c r="B56" s="18" t="s">
        <v>44</v>
      </c>
      <c r="D56" s="89"/>
      <c r="I56" s="18" t="s">
        <v>45</v>
      </c>
      <c r="K56" s="18">
        <f>'[1]February 2022 Contract staff'!S23</f>
        <v>7200</v>
      </c>
    </row>
    <row r="57" spans="1:11" ht="11.25" customHeight="1">
      <c r="B57" s="18" t="s">
        <v>46</v>
      </c>
      <c r="D57" s="89"/>
      <c r="J57" s="90">
        <f>SUM(J54:J56)</f>
        <v>2724</v>
      </c>
    </row>
    <row r="58" spans="1:11" ht="11.25" customHeight="1">
      <c r="B58" s="18" t="s">
        <v>47</v>
      </c>
      <c r="D58" s="89"/>
    </row>
    <row r="59" spans="1:11" ht="11.25" customHeight="1">
      <c r="B59" s="18" t="s">
        <v>48</v>
      </c>
      <c r="D59" s="89"/>
      <c r="I59" s="1"/>
    </row>
    <row r="60" spans="1:11" ht="11.25" customHeight="1">
      <c r="I60" s="1"/>
      <c r="J60" s="81"/>
      <c r="K60" s="73"/>
    </row>
    <row r="61" spans="1:11" ht="14.85" customHeight="1">
      <c r="B61" s="18" t="s">
        <v>49</v>
      </c>
      <c r="D61" s="89"/>
      <c r="I61" s="1"/>
      <c r="K61" s="73"/>
    </row>
    <row r="62" spans="1:11" ht="11.25" customHeight="1">
      <c r="D62" s="89"/>
      <c r="I62" s="1"/>
      <c r="K62" s="73"/>
    </row>
    <row r="63" spans="1:11" ht="11.25" customHeight="1">
      <c r="A63" s="28">
        <v>4</v>
      </c>
      <c r="B63" s="34" t="s">
        <v>50</v>
      </c>
      <c r="C63" s="34"/>
      <c r="D63" s="35"/>
      <c r="E63" s="36">
        <v>5839</v>
      </c>
      <c r="F63" s="91">
        <f>E63*25%</f>
        <v>1459.75</v>
      </c>
      <c r="G63" s="4">
        <f>ROUND(SUM(E63:F63),0)</f>
        <v>7299</v>
      </c>
      <c r="H63" s="32">
        <f>ROUND((E63+F63)*0.12,0)</f>
        <v>876</v>
      </c>
      <c r="I63" s="10">
        <f>H63</f>
        <v>876</v>
      </c>
      <c r="J63" s="42">
        <v>0</v>
      </c>
      <c r="K63" s="33">
        <f>ROUND(H63+I63,0)</f>
        <v>1752</v>
      </c>
    </row>
    <row r="64" spans="1:11" ht="15.75" customHeight="1"/>
    <row r="65" ht="15.75" customHeight="1"/>
  </sheetData>
  <mergeCells count="7">
    <mergeCell ref="I40:I41"/>
    <mergeCell ref="B45:F45"/>
    <mergeCell ref="B46:F46"/>
    <mergeCell ref="B40:B41"/>
    <mergeCell ref="E40:E41"/>
    <mergeCell ref="F40:G41"/>
    <mergeCell ref="H40:H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6" sqref="F6"/>
    </sheetView>
  </sheetViews>
  <sheetFormatPr defaultRowHeight="15"/>
  <sheetData>
    <row r="1" spans="1:11">
      <c r="A1" s="94" t="s">
        <v>0</v>
      </c>
      <c r="B1" s="94" t="s">
        <v>60</v>
      </c>
      <c r="C1" s="94" t="s">
        <v>61</v>
      </c>
      <c r="D1" s="94" t="s">
        <v>62</v>
      </c>
      <c r="E1" s="94" t="s">
        <v>63</v>
      </c>
      <c r="F1" s="94" t="s">
        <v>64</v>
      </c>
      <c r="G1" s="94" t="s">
        <v>65</v>
      </c>
      <c r="H1" s="94" t="s">
        <v>66</v>
      </c>
      <c r="I1" s="94" t="s">
        <v>67</v>
      </c>
      <c r="J1" s="94" t="s">
        <v>68</v>
      </c>
      <c r="K1" s="94" t="s">
        <v>69</v>
      </c>
    </row>
    <row r="2" spans="1:11">
      <c r="A2" s="95" t="s">
        <v>70</v>
      </c>
      <c r="B2" s="8" t="s">
        <v>10</v>
      </c>
      <c r="C2" s="96">
        <v>7000</v>
      </c>
      <c r="D2" s="97">
        <f t="shared" ref="D2" si="0">IF(C2&gt;15000,15000,C2)</f>
        <v>7000</v>
      </c>
      <c r="E2" s="97">
        <f t="shared" ref="E2:F2" si="1">D2</f>
        <v>7000</v>
      </c>
      <c r="F2" s="97">
        <f t="shared" si="1"/>
        <v>7000</v>
      </c>
      <c r="G2" s="98">
        <f>ROUND((C2)*0.12,0)</f>
        <v>840</v>
      </c>
      <c r="H2" s="98">
        <f t="shared" ref="H2" si="2">IF(ROUND(D2*0.0833,0)&gt;1250,1250,ROUND(D2*0.0833,0))</f>
        <v>583</v>
      </c>
      <c r="I2" s="97">
        <f>IF(ROUND(C2*0.0833,0)&gt;1250,ROUND(C2*0.0367,0)+(ROUND(C2*0.0833,0)-1250),ROUND(C2*0.0367,0))</f>
        <v>257</v>
      </c>
      <c r="J2" s="8">
        <v>0</v>
      </c>
      <c r="K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EPF calculation</vt:lpstr>
      <vt:lpstr>EPF upload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2022-05-12T06:35:44Z</dcterms:modified>
</cp:coreProperties>
</file>