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cmuser\Box\FMEnergy\Utilities\Utility Recharges\02 Feb 2018 Recharges\"/>
    </mc:Choice>
  </mc:AlternateContent>
  <bookViews>
    <workbookView xWindow="0" yWindow="0" windowWidth="8310" windowHeight="8250" tabRatio="685" firstSheet="1" activeTab="1"/>
  </bookViews>
  <sheets>
    <sheet name="Load Shape" sheetId="10" state="hidden" r:id="rId1"/>
    <sheet name="Utility Summary" sheetId="16" r:id="rId2"/>
    <sheet name="Electricity" sheetId="12" r:id="rId3"/>
    <sheet name="Gas" sheetId="13" r:id="rId4"/>
    <sheet name="Water" sheetId="15" r:id="rId5"/>
    <sheet name="Field Form" sheetId="17" state="hidden" r:id="rId6"/>
    <sheet name="Utilities Summary Old " sheetId="4" state="hidden" r:id="rId7"/>
    <sheet name="Electric old" sheetId="8" state="hidden" r:id="rId8"/>
    <sheet name="Gas Old" sheetId="7" state="hidden" r:id="rId9"/>
    <sheet name="Water Old" sheetId="2" state="hidden" r:id="rId10"/>
    <sheet name="Chilled Water" sheetId="19" r:id="rId11"/>
  </sheets>
  <definedNames>
    <definedName name="_xlnm.Print_Area" localSheetId="6">'Utilities Summary Old '!$A$1:$G$159</definedName>
    <definedName name="_xlnm.Print_Area" localSheetId="1">'Utility Summary'!$A$1:$Y$38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</definedNames>
  <calcPr calcId="162913"/>
</workbook>
</file>

<file path=xl/calcChain.xml><?xml version="1.0" encoding="utf-8"?>
<calcChain xmlns="http://schemas.openxmlformats.org/spreadsheetml/2006/main">
  <c r="P16" i="16" l="1"/>
  <c r="P15" i="16"/>
  <c r="N15" i="16"/>
  <c r="O15" i="16"/>
  <c r="O16" i="16" s="1"/>
  <c r="H15" i="16"/>
  <c r="I15" i="16"/>
  <c r="J15" i="16"/>
  <c r="K15" i="16"/>
  <c r="L15" i="16"/>
  <c r="M15" i="16"/>
  <c r="G15" i="16"/>
  <c r="O14" i="16"/>
  <c r="O13" i="16"/>
  <c r="H14" i="16"/>
  <c r="I14" i="16"/>
  <c r="J14" i="16"/>
  <c r="K14" i="16"/>
  <c r="L14" i="16"/>
  <c r="M14" i="16"/>
  <c r="N14" i="16"/>
  <c r="G14" i="16"/>
  <c r="H13" i="16"/>
  <c r="I13" i="16"/>
  <c r="J13" i="16"/>
  <c r="K13" i="16"/>
  <c r="L13" i="16"/>
  <c r="M13" i="16"/>
  <c r="N13" i="16"/>
  <c r="G13" i="16"/>
  <c r="P12" i="16"/>
  <c r="O12" i="16"/>
  <c r="D12" i="16"/>
  <c r="E12" i="16"/>
  <c r="F12" i="16"/>
  <c r="G12" i="16"/>
  <c r="H12" i="16"/>
  <c r="I12" i="16"/>
  <c r="J12" i="16"/>
  <c r="K12" i="16"/>
  <c r="L12" i="16"/>
  <c r="M12" i="16"/>
  <c r="N12" i="16"/>
  <c r="C12" i="16"/>
  <c r="J9" i="15"/>
  <c r="I13" i="15"/>
  <c r="K13" i="15"/>
  <c r="E12" i="15" l="1"/>
  <c r="N12" i="12"/>
  <c r="N9" i="12"/>
  <c r="M15" i="12"/>
  <c r="P14" i="12"/>
  <c r="J8" i="13" l="1"/>
  <c r="J5" i="12" l="1"/>
  <c r="P16" i="13" l="1"/>
  <c r="J12" i="13" l="1"/>
  <c r="H12" i="13"/>
  <c r="H8" i="13"/>
  <c r="H9" i="13" s="1"/>
  <c r="H5" i="13"/>
  <c r="J5" i="15"/>
  <c r="J7" i="19"/>
  <c r="J11" i="12"/>
  <c r="J8" i="12"/>
  <c r="J15" i="13" l="1"/>
  <c r="J14" i="12"/>
  <c r="J9" i="12" l="1"/>
  <c r="J15" i="12" s="1"/>
  <c r="J12" i="12"/>
  <c r="J9" i="16" s="1"/>
  <c r="J5" i="13"/>
  <c r="J9" i="13" l="1"/>
  <c r="J13" i="13"/>
  <c r="J5" i="16"/>
  <c r="I5" i="12"/>
  <c r="J16" i="13" l="1"/>
  <c r="J6" i="16"/>
  <c r="G5" i="12"/>
  <c r="I12" i="13" l="1"/>
  <c r="I7" i="19" l="1"/>
  <c r="I11" i="12"/>
  <c r="I12" i="12" s="1"/>
  <c r="I8" i="12"/>
  <c r="I14" i="12" s="1"/>
  <c r="I5" i="13" l="1"/>
  <c r="H5" i="12" l="1"/>
  <c r="I5" i="15" l="1"/>
  <c r="H11" i="12" l="1"/>
  <c r="G3" i="19" l="1"/>
  <c r="G12" i="13" l="1"/>
  <c r="H5" i="15" l="1"/>
  <c r="H8" i="12" l="1"/>
  <c r="H7" i="19"/>
  <c r="I8" i="13" l="1"/>
  <c r="K8" i="13"/>
  <c r="L8" i="13"/>
  <c r="M8" i="13"/>
  <c r="N8" i="13"/>
  <c r="O8" i="13"/>
  <c r="P8" i="13"/>
  <c r="G8" i="13"/>
  <c r="G7" i="19" l="1"/>
  <c r="F5" i="15"/>
  <c r="G5" i="15" l="1"/>
  <c r="G11" i="12" l="1"/>
  <c r="G8" i="12"/>
  <c r="G5" i="13"/>
  <c r="F5" i="12"/>
  <c r="F11" i="12" l="1"/>
  <c r="F7" i="19" l="1"/>
  <c r="F12" i="13" l="1"/>
  <c r="F8" i="13" l="1"/>
  <c r="F8" i="12" l="1"/>
  <c r="F5" i="13" l="1"/>
  <c r="E7" i="19" l="1"/>
  <c r="E11" i="12" l="1"/>
  <c r="E12" i="13" l="1"/>
  <c r="E8" i="13" l="1"/>
  <c r="E8" i="12"/>
  <c r="D11" i="12"/>
  <c r="E5" i="15" l="1"/>
  <c r="E12" i="19"/>
  <c r="E5" i="12" l="1"/>
  <c r="E5" i="13" l="1"/>
  <c r="D5" i="12" l="1"/>
  <c r="D5" i="15" l="1"/>
  <c r="D5" i="13"/>
  <c r="D12" i="12"/>
  <c r="D9" i="15" l="1"/>
  <c r="D13" i="15" s="1"/>
  <c r="E9" i="15"/>
  <c r="E13" i="15" s="1"/>
  <c r="I9" i="15"/>
  <c r="C7" i="19" l="1"/>
  <c r="C8" i="19" s="1"/>
  <c r="D7" i="19"/>
  <c r="D8" i="19" s="1"/>
  <c r="D13" i="19" s="1"/>
  <c r="C12" i="15"/>
  <c r="C13" i="19" l="1"/>
  <c r="D12" i="13"/>
  <c r="D13" i="13" s="1"/>
  <c r="C12" i="13"/>
  <c r="C7" i="13"/>
  <c r="C5" i="13"/>
  <c r="D8" i="13" l="1"/>
  <c r="D9" i="13" s="1"/>
  <c r="C8" i="13"/>
  <c r="C9" i="13" s="1"/>
  <c r="D8" i="12"/>
  <c r="D9" i="12" s="1"/>
  <c r="D15" i="12" s="1"/>
  <c r="C8" i="12"/>
  <c r="C11" i="12"/>
  <c r="D6" i="16" l="1"/>
  <c r="D16" i="13"/>
  <c r="C5" i="12"/>
  <c r="C12" i="12" l="1"/>
  <c r="C9" i="12"/>
  <c r="N7" i="19"/>
  <c r="N8" i="19" s="1"/>
  <c r="N13" i="19" s="1"/>
  <c r="M12" i="13"/>
  <c r="N8" i="16" l="1"/>
  <c r="C4" i="19"/>
  <c r="D4" i="19"/>
  <c r="E4" i="19"/>
  <c r="F4" i="19"/>
  <c r="G4" i="19"/>
  <c r="H4" i="19"/>
  <c r="I4" i="19"/>
  <c r="J4" i="19"/>
  <c r="K4" i="19"/>
  <c r="L4" i="19"/>
  <c r="M4" i="19"/>
  <c r="N4" i="19"/>
  <c r="C4" i="15"/>
  <c r="D4" i="15"/>
  <c r="E4" i="15"/>
  <c r="F4" i="15"/>
  <c r="G4" i="15"/>
  <c r="H4" i="15"/>
  <c r="I4" i="15"/>
  <c r="J4" i="15"/>
  <c r="K4" i="15"/>
  <c r="L4" i="15"/>
  <c r="M4" i="15"/>
  <c r="N4" i="15"/>
  <c r="C4" i="13"/>
  <c r="D4" i="13"/>
  <c r="E4" i="13"/>
  <c r="F4" i="13"/>
  <c r="G4" i="13"/>
  <c r="H4" i="13"/>
  <c r="I4" i="13"/>
  <c r="J4" i="13"/>
  <c r="K4" i="13"/>
  <c r="L4" i="13"/>
  <c r="M4" i="13"/>
  <c r="N4" i="13"/>
  <c r="N8" i="12" l="1"/>
  <c r="N5" i="12"/>
  <c r="M5" i="12"/>
  <c r="C3" i="19" l="1"/>
  <c r="D3" i="19"/>
  <c r="E3" i="19"/>
  <c r="F3" i="19"/>
  <c r="H3" i="19"/>
  <c r="I3" i="19"/>
  <c r="J3" i="19"/>
  <c r="K3" i="19"/>
  <c r="L3" i="19"/>
  <c r="M3" i="19"/>
  <c r="N3" i="19"/>
  <c r="C3" i="15"/>
  <c r="D3" i="15"/>
  <c r="E3" i="15"/>
  <c r="F3" i="15"/>
  <c r="G3" i="15"/>
  <c r="H3" i="15"/>
  <c r="I3" i="15"/>
  <c r="J3" i="15"/>
  <c r="K3" i="15"/>
  <c r="L3" i="15"/>
  <c r="M3" i="15"/>
  <c r="N3" i="15"/>
  <c r="C3" i="13"/>
  <c r="D3" i="13"/>
  <c r="E3" i="13"/>
  <c r="F3" i="13"/>
  <c r="G3" i="13"/>
  <c r="H3" i="13"/>
  <c r="I3" i="13"/>
  <c r="J3" i="13"/>
  <c r="K3" i="13"/>
  <c r="L3" i="13"/>
  <c r="M3" i="13"/>
  <c r="N3" i="13"/>
  <c r="C3" i="12"/>
  <c r="D3" i="12"/>
  <c r="E3" i="12"/>
  <c r="F3" i="12"/>
  <c r="G3" i="12"/>
  <c r="H3" i="12"/>
  <c r="I3" i="12"/>
  <c r="J3" i="12"/>
  <c r="K3" i="12"/>
  <c r="L3" i="12"/>
  <c r="M3" i="12"/>
  <c r="N3" i="12"/>
  <c r="N11" i="12"/>
  <c r="N14" i="12" s="1"/>
  <c r="N9" i="16" l="1"/>
  <c r="N5" i="16"/>
  <c r="N5" i="15"/>
  <c r="N9" i="15" s="1"/>
  <c r="N15" i="12" l="1"/>
  <c r="P15" i="12" s="1"/>
  <c r="N13" i="15"/>
  <c r="N7" i="16"/>
  <c r="N5" i="13"/>
  <c r="N13" i="13" s="1"/>
  <c r="N15" i="13" l="1"/>
  <c r="N9" i="13"/>
  <c r="L12" i="13"/>
  <c r="N6" i="16" l="1"/>
  <c r="N16" i="13"/>
  <c r="M15" i="13"/>
  <c r="M5" i="15"/>
  <c r="M9" i="15" s="1"/>
  <c r="M13" i="15" s="1"/>
  <c r="M12" i="15" l="1"/>
  <c r="M5" i="13" l="1"/>
  <c r="M13" i="13" l="1"/>
  <c r="M9" i="13"/>
  <c r="M16" i="13" s="1"/>
  <c r="L5" i="13"/>
  <c r="L13" i="13" s="1"/>
  <c r="M11" i="12"/>
  <c r="M12" i="12" s="1"/>
  <c r="M8" i="12"/>
  <c r="M9" i="12" s="1"/>
  <c r="M6" i="16" l="1"/>
  <c r="M7" i="19"/>
  <c r="M8" i="19" s="1"/>
  <c r="M13" i="19" s="1"/>
  <c r="L7" i="19" l="1"/>
  <c r="L8" i="19" s="1"/>
  <c r="L13" i="19" s="1"/>
  <c r="K7" i="19"/>
  <c r="K8" i="19" s="1"/>
  <c r="K13" i="19" s="1"/>
  <c r="L12" i="19" l="1"/>
  <c r="K12" i="19"/>
  <c r="K8" i="16" l="1"/>
  <c r="L15" i="13" l="1"/>
  <c r="L9" i="13"/>
  <c r="L16" i="13" s="1"/>
  <c r="L5" i="12"/>
  <c r="L6" i="16" l="1"/>
  <c r="K12" i="13"/>
  <c r="K5" i="13"/>
  <c r="K9" i="13" s="1"/>
  <c r="K15" i="13" l="1"/>
  <c r="K13" i="13"/>
  <c r="K16" i="13" s="1"/>
  <c r="K6" i="16" l="1"/>
  <c r="L8" i="12"/>
  <c r="L9" i="12" s="1"/>
  <c r="K5" i="15" l="1"/>
  <c r="K9" i="15" s="1"/>
  <c r="K12" i="15"/>
  <c r="K11" i="12" l="1"/>
  <c r="K8" i="12"/>
  <c r="K14" i="12" l="1"/>
  <c r="K5" i="12"/>
  <c r="K12" i="12" l="1"/>
  <c r="K9" i="12"/>
  <c r="K5" i="16" l="1"/>
  <c r="K15" i="12"/>
  <c r="I8" i="19"/>
  <c r="I13" i="19" s="1"/>
  <c r="J8" i="19"/>
  <c r="J13" i="19" s="1"/>
  <c r="J13" i="15" l="1"/>
  <c r="I9" i="12" l="1"/>
  <c r="I15" i="12" s="1"/>
  <c r="I13" i="13"/>
  <c r="I15" i="13" l="1"/>
  <c r="I9" i="13"/>
  <c r="I16" i="13" s="1"/>
  <c r="H8" i="19"/>
  <c r="H13" i="19" s="1"/>
  <c r="I6" i="16" l="1"/>
  <c r="H15" i="13" l="1"/>
  <c r="H9" i="15"/>
  <c r="H13" i="15" s="1"/>
  <c r="H13" i="13" l="1"/>
  <c r="H16" i="13" s="1"/>
  <c r="H12" i="12"/>
  <c r="H9" i="12"/>
  <c r="H15" i="12" s="1"/>
  <c r="H6" i="16" l="1"/>
  <c r="G8" i="19"/>
  <c r="G13" i="19" s="1"/>
  <c r="G12" i="12" l="1"/>
  <c r="G9" i="12"/>
  <c r="G9" i="15"/>
  <c r="G13" i="15" s="1"/>
  <c r="G13" i="13"/>
  <c r="G15" i="12" l="1"/>
  <c r="F9" i="15"/>
  <c r="F13" i="15" s="1"/>
  <c r="F8" i="19" l="1"/>
  <c r="F13" i="19" s="1"/>
  <c r="F13" i="13"/>
  <c r="F12" i="12" l="1"/>
  <c r="F9" i="12"/>
  <c r="E8" i="19" l="1"/>
  <c r="E13" i="19" s="1"/>
  <c r="O8" i="19" l="1"/>
  <c r="C5" i="15" l="1"/>
  <c r="O12" i="13"/>
  <c r="L8" i="16"/>
  <c r="M8" i="16"/>
  <c r="L5" i="15"/>
  <c r="L9" i="15" s="1"/>
  <c r="L11" i="12"/>
  <c r="L12" i="12" s="1"/>
  <c r="L15" i="12" s="1"/>
  <c r="J7" i="16"/>
  <c r="I5" i="16"/>
  <c r="G9" i="13"/>
  <c r="F9" i="13"/>
  <c r="E13" i="13"/>
  <c r="D15" i="13"/>
  <c r="J12" i="19"/>
  <c r="G9" i="16"/>
  <c r="F5" i="16"/>
  <c r="N12" i="19"/>
  <c r="N12" i="15"/>
  <c r="L12" i="15"/>
  <c r="J12" i="15"/>
  <c r="I12" i="19"/>
  <c r="I12" i="15"/>
  <c r="H9" i="16"/>
  <c r="G5" i="16"/>
  <c r="G14" i="12"/>
  <c r="F14" i="12"/>
  <c r="F12" i="19"/>
  <c r="G12" i="19"/>
  <c r="F12" i="15"/>
  <c r="G12" i="15"/>
  <c r="D9" i="16"/>
  <c r="D12" i="19"/>
  <c r="D12" i="15"/>
  <c r="C5" i="16"/>
  <c r="E14" i="12"/>
  <c r="G7" i="2"/>
  <c r="E7" i="4" s="1"/>
  <c r="G8" i="2"/>
  <c r="E8" i="4" s="1"/>
  <c r="G9" i="2"/>
  <c r="E9" i="4" s="1"/>
  <c r="G10" i="2"/>
  <c r="E10" i="4" s="1"/>
  <c r="E11" i="2"/>
  <c r="G11" i="2" s="1"/>
  <c r="E11" i="4" s="1"/>
  <c r="E12" i="2"/>
  <c r="G12" i="2" s="1"/>
  <c r="E12" i="4" s="1"/>
  <c r="E13" i="2"/>
  <c r="G13" i="2" s="1"/>
  <c r="E13" i="4" s="1"/>
  <c r="E14" i="2"/>
  <c r="G14" i="2" s="1"/>
  <c r="E14" i="4" s="1"/>
  <c r="E15" i="2"/>
  <c r="G15" i="2" s="1"/>
  <c r="E15" i="4" s="1"/>
  <c r="E19" i="2"/>
  <c r="G19" i="2" s="1"/>
  <c r="E19" i="4" s="1"/>
  <c r="E20" i="2"/>
  <c r="G20" i="2" s="1"/>
  <c r="E20" i="4" s="1"/>
  <c r="E21" i="2"/>
  <c r="G21" i="2" s="1"/>
  <c r="E21" i="4" s="1"/>
  <c r="G22" i="2"/>
  <c r="E22" i="4" s="1"/>
  <c r="E23" i="2"/>
  <c r="G23" i="2" s="1"/>
  <c r="E23" i="4" s="1"/>
  <c r="E24" i="2"/>
  <c r="G24" i="2" s="1"/>
  <c r="E24" i="4" s="1"/>
  <c r="E27" i="2"/>
  <c r="G27" i="2" s="1"/>
  <c r="E27" i="4" s="1"/>
  <c r="E31" i="2"/>
  <c r="G31" i="2" s="1"/>
  <c r="E31" i="4" s="1"/>
  <c r="E32" i="2"/>
  <c r="G32" i="2" s="1"/>
  <c r="E32" i="4" s="1"/>
  <c r="E33" i="2"/>
  <c r="G33" i="2" s="1"/>
  <c r="E33" i="4" s="1"/>
  <c r="G34" i="2"/>
  <c r="E34" i="4" s="1"/>
  <c r="E35" i="2"/>
  <c r="G35" i="2" s="1"/>
  <c r="E35" i="4" s="1"/>
  <c r="E36" i="2"/>
  <c r="G36" i="2" s="1"/>
  <c r="E36" i="4" s="1"/>
  <c r="E37" i="2"/>
  <c r="G37" i="2" s="1"/>
  <c r="E37" i="4" s="1"/>
  <c r="E38" i="2"/>
  <c r="G38" i="2" s="1"/>
  <c r="E38" i="4" s="1"/>
  <c r="E39" i="2"/>
  <c r="G39" i="2" s="1"/>
  <c r="E39" i="4" s="1"/>
  <c r="E43" i="2"/>
  <c r="G43" i="2" s="1"/>
  <c r="E43" i="4" s="1"/>
  <c r="E44" i="2"/>
  <c r="G44" i="2" s="1"/>
  <c r="E44" i="4" s="1"/>
  <c r="E45" i="2"/>
  <c r="G45" i="2" s="1"/>
  <c r="E45" i="4" s="1"/>
  <c r="G46" i="2"/>
  <c r="E46" i="4" s="1"/>
  <c r="E47" i="2"/>
  <c r="G47" i="2" s="1"/>
  <c r="E47" i="4" s="1"/>
  <c r="E48" i="2"/>
  <c r="G48" i="2" s="1"/>
  <c r="E48" i="4" s="1"/>
  <c r="E49" i="2"/>
  <c r="G49" i="2" s="1"/>
  <c r="E49" i="4" s="1"/>
  <c r="E50" i="2"/>
  <c r="E51" i="2"/>
  <c r="G51" i="2" s="1"/>
  <c r="E51" i="4" s="1"/>
  <c r="G55" i="2"/>
  <c r="E55" i="4" s="1"/>
  <c r="G56" i="2"/>
  <c r="E56" i="4" s="1"/>
  <c r="G57" i="2"/>
  <c r="E57" i="4" s="1"/>
  <c r="G58" i="2"/>
  <c r="E58" i="4" s="1"/>
  <c r="G59" i="2"/>
  <c r="E59" i="4" s="1"/>
  <c r="E108" i="2"/>
  <c r="E109" i="2"/>
  <c r="E110" i="2"/>
  <c r="E111" i="2"/>
  <c r="G111" i="2" s="1"/>
  <c r="E111" i="4" s="1"/>
  <c r="G67" i="2"/>
  <c r="E67" i="4" s="1"/>
  <c r="G68" i="2"/>
  <c r="E68" i="4" s="1"/>
  <c r="G69" i="2"/>
  <c r="E69" i="4" s="1"/>
  <c r="G70" i="2"/>
  <c r="E70" i="4" s="1"/>
  <c r="G71" i="2"/>
  <c r="E71" i="4" s="1"/>
  <c r="G79" i="2"/>
  <c r="E79" i="4" s="1"/>
  <c r="G80" i="2"/>
  <c r="E80" i="4" s="1"/>
  <c r="G81" i="2"/>
  <c r="E81" i="4" s="1"/>
  <c r="G82" i="2"/>
  <c r="E82" i="4" s="1"/>
  <c r="G83" i="2"/>
  <c r="E83" i="4" s="1"/>
  <c r="G91" i="2"/>
  <c r="E91" i="4" s="1"/>
  <c r="G92" i="2"/>
  <c r="E92" i="4" s="1"/>
  <c r="G93" i="2"/>
  <c r="E93" i="4" s="1"/>
  <c r="G94" i="2"/>
  <c r="E94" i="4" s="1"/>
  <c r="G95" i="2"/>
  <c r="E95" i="4" s="1"/>
  <c r="E103" i="2"/>
  <c r="G103" i="2" s="1"/>
  <c r="E103" i="4" s="1"/>
  <c r="E104" i="2"/>
  <c r="G104" i="2" s="1"/>
  <c r="E104" i="4" s="1"/>
  <c r="E105" i="2"/>
  <c r="G105" i="2" s="1"/>
  <c r="E105" i="4" s="1"/>
  <c r="G106" i="2"/>
  <c r="E106" i="4" s="1"/>
  <c r="E107" i="2"/>
  <c r="G107" i="2" s="1"/>
  <c r="E107" i="4" s="1"/>
  <c r="G115" i="2"/>
  <c r="E115" i="4" s="1"/>
  <c r="G116" i="2"/>
  <c r="E116" i="4" s="1"/>
  <c r="G117" i="2"/>
  <c r="E117" i="4" s="1"/>
  <c r="G118" i="2"/>
  <c r="E118" i="4" s="1"/>
  <c r="G119" i="2"/>
  <c r="E119" i="4" s="1"/>
  <c r="G127" i="2"/>
  <c r="E127" i="4" s="1"/>
  <c r="G128" i="2"/>
  <c r="E128" i="4" s="1"/>
  <c r="G129" i="2"/>
  <c r="E129" i="4" s="1"/>
  <c r="G130" i="2"/>
  <c r="E130" i="4" s="1"/>
  <c r="G131" i="2"/>
  <c r="E131" i="4" s="1"/>
  <c r="F4" i="7"/>
  <c r="H4" i="7" s="1"/>
  <c r="F5" i="7"/>
  <c r="H5" i="7" s="1"/>
  <c r="F6" i="7"/>
  <c r="H6" i="7" s="1"/>
  <c r="F7" i="7"/>
  <c r="H7" i="7" s="1"/>
  <c r="F8" i="7"/>
  <c r="H8" i="7" s="1"/>
  <c r="D9" i="7"/>
  <c r="F9" i="7" s="1"/>
  <c r="H9" i="7" s="1"/>
  <c r="D10" i="7"/>
  <c r="F10" i="7" s="1"/>
  <c r="H10" i="7" s="1"/>
  <c r="D11" i="7"/>
  <c r="F11" i="7" s="1"/>
  <c r="H11" i="7" s="1"/>
  <c r="D12" i="7"/>
  <c r="F12" i="7" s="1"/>
  <c r="H12" i="7" s="1"/>
  <c r="F13" i="7"/>
  <c r="H13" i="7" s="1"/>
  <c r="F14" i="7"/>
  <c r="H14" i="7" s="1"/>
  <c r="F15" i="7"/>
  <c r="H15" i="7" s="1"/>
  <c r="F16" i="7"/>
  <c r="H16" i="7" s="1"/>
  <c r="F17" i="7"/>
  <c r="H17" i="7" s="1"/>
  <c r="D18" i="7"/>
  <c r="F18" i="7" s="1"/>
  <c r="H18" i="7" s="1"/>
  <c r="D19" i="7"/>
  <c r="F19" i="7" s="1"/>
  <c r="H19" i="7" s="1"/>
  <c r="D20" i="7"/>
  <c r="F20" i="7" s="1"/>
  <c r="H20" i="7" s="1"/>
  <c r="D21" i="7"/>
  <c r="F21" i="7" s="1"/>
  <c r="H21" i="7" s="1"/>
  <c r="E4" i="8"/>
  <c r="G4" i="8" s="1"/>
  <c r="C4" i="4" s="1"/>
  <c r="G5" i="8"/>
  <c r="C5" i="4" s="1"/>
  <c r="J5" i="8"/>
  <c r="G6" i="8"/>
  <c r="C6" i="4" s="1"/>
  <c r="J6" i="8"/>
  <c r="G7" i="8"/>
  <c r="C7" i="4" s="1"/>
  <c r="E16" i="8"/>
  <c r="G8" i="8"/>
  <c r="C8" i="4" s="1"/>
  <c r="G9" i="8"/>
  <c r="C9" i="4" s="1"/>
  <c r="G10" i="8"/>
  <c r="C10" i="4" s="1"/>
  <c r="G11" i="8"/>
  <c r="C11" i="4" s="1"/>
  <c r="G12" i="8"/>
  <c r="C12" i="4" s="1"/>
  <c r="G13" i="8"/>
  <c r="C13" i="4" s="1"/>
  <c r="G14" i="8"/>
  <c r="C14" i="4" s="1"/>
  <c r="G15" i="8"/>
  <c r="C15" i="4" s="1"/>
  <c r="F16" i="8"/>
  <c r="F28" i="8" s="1"/>
  <c r="G28" i="8" s="1"/>
  <c r="C28" i="4" s="1"/>
  <c r="F17" i="8"/>
  <c r="G17" i="8" s="1"/>
  <c r="C17" i="4" s="1"/>
  <c r="G18" i="8"/>
  <c r="C18" i="4" s="1"/>
  <c r="G19" i="8"/>
  <c r="C19" i="4" s="1"/>
  <c r="G20" i="8"/>
  <c r="C20" i="4" s="1"/>
  <c r="G21" i="8"/>
  <c r="C21" i="4" s="1"/>
  <c r="G22" i="8"/>
  <c r="C22" i="4" s="1"/>
  <c r="G23" i="8"/>
  <c r="C23" i="4" s="1"/>
  <c r="G24" i="8"/>
  <c r="C24" i="4" s="1"/>
  <c r="G25" i="8"/>
  <c r="C25" i="4" s="1"/>
  <c r="G26" i="8"/>
  <c r="C26" i="4" s="1"/>
  <c r="G27" i="8"/>
  <c r="C27" i="4" s="1"/>
  <c r="G30" i="8"/>
  <c r="C30" i="4" s="1"/>
  <c r="G31" i="8"/>
  <c r="C31" i="4" s="1"/>
  <c r="G32" i="8"/>
  <c r="C32" i="4" s="1"/>
  <c r="G33" i="8"/>
  <c r="C33" i="4" s="1"/>
  <c r="G34" i="8"/>
  <c r="C34" i="4" s="1"/>
  <c r="G35" i="8"/>
  <c r="C35" i="4" s="1"/>
  <c r="G36" i="8"/>
  <c r="C36" i="4" s="1"/>
  <c r="G37" i="8"/>
  <c r="C37" i="4" s="1"/>
  <c r="G38" i="8"/>
  <c r="C38" i="4" s="1"/>
  <c r="G39" i="8"/>
  <c r="C39" i="4" s="1"/>
  <c r="G42" i="8"/>
  <c r="C42" i="4" s="1"/>
  <c r="G43" i="8"/>
  <c r="C43" i="4" s="1"/>
  <c r="G44" i="8"/>
  <c r="C44" i="4" s="1"/>
  <c r="G45" i="8"/>
  <c r="C45" i="4" s="1"/>
  <c r="G46" i="8"/>
  <c r="C46" i="4" s="1"/>
  <c r="G47" i="8"/>
  <c r="C47" i="4" s="1"/>
  <c r="G48" i="8"/>
  <c r="C48" i="4" s="1"/>
  <c r="G49" i="8"/>
  <c r="C49" i="4" s="1"/>
  <c r="G50" i="8"/>
  <c r="C50" i="4" s="1"/>
  <c r="G51" i="8"/>
  <c r="C51" i="4" s="1"/>
  <c r="G54" i="8"/>
  <c r="C54" i="4" s="1"/>
  <c r="G55" i="8"/>
  <c r="C55" i="4" s="1"/>
  <c r="G56" i="8"/>
  <c r="C56" i="4" s="1"/>
  <c r="G57" i="8"/>
  <c r="C57" i="4" s="1"/>
  <c r="G58" i="8"/>
  <c r="C58" i="4" s="1"/>
  <c r="G59" i="8"/>
  <c r="C59" i="4" s="1"/>
  <c r="G60" i="8"/>
  <c r="C60" i="4" s="1"/>
  <c r="G61" i="8"/>
  <c r="C61" i="4" s="1"/>
  <c r="G62" i="8"/>
  <c r="C62" i="4" s="1"/>
  <c r="G63" i="8"/>
  <c r="C63" i="4" s="1"/>
  <c r="G66" i="8"/>
  <c r="C66" i="4" s="1"/>
  <c r="G67" i="8"/>
  <c r="C67" i="4" s="1"/>
  <c r="G68" i="8"/>
  <c r="C68" i="4" s="1"/>
  <c r="G69" i="8"/>
  <c r="C69" i="4" s="1"/>
  <c r="G70" i="8"/>
  <c r="C70" i="4" s="1"/>
  <c r="G71" i="8"/>
  <c r="C71" i="4" s="1"/>
  <c r="G72" i="8"/>
  <c r="C72" i="4" s="1"/>
  <c r="G73" i="8"/>
  <c r="C73" i="4" s="1"/>
  <c r="G74" i="8"/>
  <c r="C74" i="4" s="1"/>
  <c r="G75" i="8"/>
  <c r="C75" i="4" s="1"/>
  <c r="G78" i="8"/>
  <c r="C78" i="4" s="1"/>
  <c r="G79" i="8"/>
  <c r="C79" i="4" s="1"/>
  <c r="G80" i="8"/>
  <c r="C80" i="4" s="1"/>
  <c r="G81" i="8"/>
  <c r="C81" i="4" s="1"/>
  <c r="G82" i="8"/>
  <c r="C82" i="4" s="1"/>
  <c r="G83" i="8"/>
  <c r="C83" i="4" s="1"/>
  <c r="G84" i="8"/>
  <c r="C84" i="4" s="1"/>
  <c r="G85" i="8"/>
  <c r="C85" i="4" s="1"/>
  <c r="G86" i="8"/>
  <c r="C86" i="4" s="1"/>
  <c r="G87" i="8"/>
  <c r="C87" i="4" s="1"/>
  <c r="G90" i="8"/>
  <c r="C90" i="4" s="1"/>
  <c r="G91" i="8"/>
  <c r="C91" i="4" s="1"/>
  <c r="G92" i="8"/>
  <c r="C92" i="4" s="1"/>
  <c r="G93" i="8"/>
  <c r="C93" i="4" s="1"/>
  <c r="G94" i="8"/>
  <c r="C94" i="4" s="1"/>
  <c r="G95" i="8"/>
  <c r="C95" i="4" s="1"/>
  <c r="G96" i="8"/>
  <c r="C96" i="4" s="1"/>
  <c r="G97" i="8"/>
  <c r="C97" i="4" s="1"/>
  <c r="G98" i="8"/>
  <c r="C98" i="4" s="1"/>
  <c r="G99" i="8"/>
  <c r="C99" i="4" s="1"/>
  <c r="G102" i="8"/>
  <c r="C102" i="4" s="1"/>
  <c r="G103" i="8"/>
  <c r="C103" i="4" s="1"/>
  <c r="G104" i="8"/>
  <c r="C104" i="4" s="1"/>
  <c r="G105" i="8"/>
  <c r="C105" i="4" s="1"/>
  <c r="G106" i="8"/>
  <c r="C106" i="4" s="1"/>
  <c r="G107" i="8"/>
  <c r="C107" i="4" s="1"/>
  <c r="G108" i="8"/>
  <c r="C108" i="4" s="1"/>
  <c r="G109" i="8"/>
  <c r="C109" i="4" s="1"/>
  <c r="G110" i="8"/>
  <c r="C110" i="4" s="1"/>
  <c r="G111" i="8"/>
  <c r="C111" i="4" s="1"/>
  <c r="G114" i="8"/>
  <c r="C114" i="4" s="1"/>
  <c r="G115" i="8"/>
  <c r="C115" i="4" s="1"/>
  <c r="G116" i="8"/>
  <c r="C116" i="4" s="1"/>
  <c r="G117" i="8"/>
  <c r="C117" i="4" s="1"/>
  <c r="G118" i="8"/>
  <c r="C118" i="4" s="1"/>
  <c r="G119" i="8"/>
  <c r="C119" i="4" s="1"/>
  <c r="G120" i="8"/>
  <c r="C120" i="4" s="1"/>
  <c r="G121" i="8"/>
  <c r="C121" i="4" s="1"/>
  <c r="G122" i="8"/>
  <c r="C122" i="4" s="1"/>
  <c r="G123" i="8"/>
  <c r="C123" i="4" s="1"/>
  <c r="G126" i="8"/>
  <c r="C126" i="4" s="1"/>
  <c r="G127" i="8"/>
  <c r="C127" i="4" s="1"/>
  <c r="G128" i="8"/>
  <c r="C128" i="4" s="1"/>
  <c r="G129" i="8"/>
  <c r="C129" i="4" s="1"/>
  <c r="G130" i="8"/>
  <c r="C130" i="4" s="1"/>
  <c r="G131" i="8"/>
  <c r="C131" i="4" s="1"/>
  <c r="G132" i="8"/>
  <c r="C132" i="4" s="1"/>
  <c r="G133" i="8"/>
  <c r="C133" i="4" s="1"/>
  <c r="G134" i="8"/>
  <c r="C134" i="4" s="1"/>
  <c r="G135" i="8"/>
  <c r="C135" i="4" s="1"/>
  <c r="E4" i="4"/>
  <c r="E5" i="4"/>
  <c r="E6" i="4"/>
  <c r="B16" i="4"/>
  <c r="B28" i="4" s="1"/>
  <c r="B40" i="4" s="1"/>
  <c r="B52" i="4" s="1"/>
  <c r="B64" i="4" s="1"/>
  <c r="B76" i="4" s="1"/>
  <c r="B88" i="4" s="1"/>
  <c r="B100" i="4" s="1"/>
  <c r="B112" i="4" s="1"/>
  <c r="B124" i="4" s="1"/>
  <c r="B136" i="4" s="1"/>
  <c r="E16" i="4"/>
  <c r="B17" i="4"/>
  <c r="B29" i="4" s="1"/>
  <c r="B41" i="4" s="1"/>
  <c r="B53" i="4" s="1"/>
  <c r="B65" i="4" s="1"/>
  <c r="B77" i="4" s="1"/>
  <c r="B89" i="4" s="1"/>
  <c r="B101" i="4" s="1"/>
  <c r="B113" i="4" s="1"/>
  <c r="B125" i="4" s="1"/>
  <c r="B137" i="4" s="1"/>
  <c r="E17" i="4"/>
  <c r="B18" i="4"/>
  <c r="B30" i="4" s="1"/>
  <c r="B42" i="4" s="1"/>
  <c r="B54" i="4" s="1"/>
  <c r="B66" i="4" s="1"/>
  <c r="B78" i="4" s="1"/>
  <c r="B90" i="4" s="1"/>
  <c r="B102" i="4" s="1"/>
  <c r="B114" i="4" s="1"/>
  <c r="B126" i="4" s="1"/>
  <c r="B138" i="4" s="1"/>
  <c r="E18" i="4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E25" i="4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E26" i="4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E28" i="4"/>
  <c r="E29" i="4"/>
  <c r="E30" i="4"/>
  <c r="E40" i="4"/>
  <c r="E41" i="4"/>
  <c r="E42" i="4"/>
  <c r="E52" i="4"/>
  <c r="E53" i="4"/>
  <c r="E54" i="4"/>
  <c r="E64" i="4"/>
  <c r="E65" i="4"/>
  <c r="E66" i="4"/>
  <c r="E76" i="4"/>
  <c r="E77" i="4"/>
  <c r="E78" i="4"/>
  <c r="E88" i="4"/>
  <c r="E89" i="4"/>
  <c r="E90" i="4"/>
  <c r="E100" i="4"/>
  <c r="E101" i="4"/>
  <c r="E102" i="4"/>
  <c r="E112" i="4"/>
  <c r="E113" i="4"/>
  <c r="E114" i="4"/>
  <c r="E124" i="4"/>
  <c r="E125" i="4"/>
  <c r="E126" i="4"/>
  <c r="D136" i="4"/>
  <c r="D137" i="4"/>
  <c r="D138" i="4"/>
  <c r="A3" i="10"/>
  <c r="B4" i="10"/>
  <c r="B5" i="10"/>
  <c r="B6" i="10"/>
  <c r="B7" i="10"/>
  <c r="B8" i="10"/>
  <c r="B9" i="10"/>
  <c r="B10" i="10"/>
  <c r="B11" i="10"/>
  <c r="A4" i="10"/>
  <c r="A5" i="10"/>
  <c r="A6" i="10"/>
  <c r="A7" i="10"/>
  <c r="A8" i="10"/>
  <c r="A9" i="10"/>
  <c r="A10" i="10"/>
  <c r="A11" i="10"/>
  <c r="A12" i="10"/>
  <c r="A13" i="10"/>
  <c r="A14" i="10"/>
  <c r="D14" i="12"/>
  <c r="D5" i="16"/>
  <c r="D39" i="4" l="1"/>
  <c r="D35" i="4"/>
  <c r="D31" i="4"/>
  <c r="F31" i="4" s="1"/>
  <c r="D83" i="4"/>
  <c r="F83" i="4" s="1"/>
  <c r="D15" i="4"/>
  <c r="D91" i="4"/>
  <c r="D68" i="4"/>
  <c r="F68" i="4" s="1"/>
  <c r="E122" i="2"/>
  <c r="G122" i="2" s="1"/>
  <c r="E122" i="4" s="1"/>
  <c r="J7" i="8"/>
  <c r="G110" i="2"/>
  <c r="E110" i="4" s="1"/>
  <c r="G16" i="13"/>
  <c r="G6" i="16"/>
  <c r="F16" i="13"/>
  <c r="F6" i="16"/>
  <c r="D59" i="4"/>
  <c r="F59" i="4" s="1"/>
  <c r="D20" i="4"/>
  <c r="F20" i="4" s="1"/>
  <c r="E86" i="2"/>
  <c r="G86" i="2" s="1"/>
  <c r="E86" i="4" s="1"/>
  <c r="F90" i="4"/>
  <c r="G90" i="4" s="1"/>
  <c r="E15" i="13"/>
  <c r="E9" i="13"/>
  <c r="E6" i="16" s="1"/>
  <c r="L13" i="15"/>
  <c r="L7" i="16"/>
  <c r="C9" i="15"/>
  <c r="C13" i="15" s="1"/>
  <c r="P13" i="15" s="1"/>
  <c r="E12" i="12"/>
  <c r="E9" i="16" s="1"/>
  <c r="E9" i="12"/>
  <c r="E5" i="16" s="1"/>
  <c r="I8" i="16"/>
  <c r="I22" i="16" s="1"/>
  <c r="D8" i="16"/>
  <c r="D15" i="16" s="1"/>
  <c r="G8" i="16"/>
  <c r="G22" i="16" s="1"/>
  <c r="F15" i="13"/>
  <c r="C15" i="13"/>
  <c r="O15" i="13"/>
  <c r="G15" i="13"/>
  <c r="D44" i="4"/>
  <c r="F44" i="4" s="1"/>
  <c r="E98" i="2"/>
  <c r="G98" i="2" s="1"/>
  <c r="E98" i="4" s="1"/>
  <c r="D119" i="4"/>
  <c r="D95" i="4"/>
  <c r="D131" i="4"/>
  <c r="F131" i="4" s="1"/>
  <c r="D51" i="4"/>
  <c r="F51" i="4" s="1"/>
  <c r="G50" i="2"/>
  <c r="E50" i="4" s="1"/>
  <c r="D92" i="4"/>
  <c r="F92" i="4" s="1"/>
  <c r="F6" i="4"/>
  <c r="G6" i="4" s="1"/>
  <c r="D128" i="4"/>
  <c r="F128" i="4" s="1"/>
  <c r="D71" i="4"/>
  <c r="D23" i="4"/>
  <c r="F23" i="4" s="1"/>
  <c r="D106" i="4"/>
  <c r="F106" i="4" s="1"/>
  <c r="D47" i="4"/>
  <c r="F47" i="4" s="1"/>
  <c r="D56" i="4"/>
  <c r="D11" i="4"/>
  <c r="D107" i="4"/>
  <c r="F107" i="4" s="1"/>
  <c r="D80" i="4"/>
  <c r="F80" i="4" s="1"/>
  <c r="L14" i="12"/>
  <c r="D32" i="4"/>
  <c r="D8" i="4"/>
  <c r="F8" i="4" s="1"/>
  <c r="E134" i="2"/>
  <c r="G134" i="2" s="1"/>
  <c r="E134" i="4" s="1"/>
  <c r="F29" i="8"/>
  <c r="F41" i="8" s="1"/>
  <c r="E74" i="2"/>
  <c r="G74" i="2" s="1"/>
  <c r="E74" i="4" s="1"/>
  <c r="E99" i="2"/>
  <c r="G99" i="2" s="1"/>
  <c r="E99" i="4" s="1"/>
  <c r="E62" i="2"/>
  <c r="G62" i="2" s="1"/>
  <c r="E62" i="4" s="1"/>
  <c r="D116" i="4"/>
  <c r="F116" i="4" s="1"/>
  <c r="B3" i="10"/>
  <c r="B16" i="10" s="1"/>
  <c r="D104" i="4"/>
  <c r="F104" i="4" s="1"/>
  <c r="F114" i="4"/>
  <c r="G114" i="4" s="1"/>
  <c r="F54" i="4"/>
  <c r="G54" i="4" s="1"/>
  <c r="F18" i="4"/>
  <c r="G18" i="4" s="1"/>
  <c r="E140" i="4"/>
  <c r="F42" i="4"/>
  <c r="G42" i="4" s="1"/>
  <c r="D69" i="4"/>
  <c r="F69" i="4" s="1"/>
  <c r="D21" i="4"/>
  <c r="F21" i="4" s="1"/>
  <c r="D9" i="4"/>
  <c r="D10" i="4"/>
  <c r="F10" i="4" s="1"/>
  <c r="F40" i="8"/>
  <c r="G40" i="8" s="1"/>
  <c r="C40" i="4" s="1"/>
  <c r="F102" i="4"/>
  <c r="G102" i="4" s="1"/>
  <c r="F39" i="4"/>
  <c r="F32" i="4"/>
  <c r="K7" i="16"/>
  <c r="K9" i="16"/>
  <c r="L9" i="16"/>
  <c r="M9" i="16"/>
  <c r="E136" i="4"/>
  <c r="F71" i="4"/>
  <c r="D75" i="4"/>
  <c r="I7" i="16"/>
  <c r="C142" i="4"/>
  <c r="C145" i="4"/>
  <c r="D96" i="4"/>
  <c r="D36" i="4"/>
  <c r="F36" i="4" s="1"/>
  <c r="D72" i="4"/>
  <c r="D25" i="4"/>
  <c r="F25" i="4" s="1"/>
  <c r="D49" i="4"/>
  <c r="F49" i="4" s="1"/>
  <c r="D61" i="4"/>
  <c r="D97" i="4"/>
  <c r="D73" i="4"/>
  <c r="D133" i="4"/>
  <c r="E75" i="2"/>
  <c r="G75" i="2" s="1"/>
  <c r="E75" i="4" s="1"/>
  <c r="D82" i="4"/>
  <c r="F82" i="4" s="1"/>
  <c r="D123" i="4"/>
  <c r="D27" i="4"/>
  <c r="F27" i="4" s="1"/>
  <c r="D87" i="4"/>
  <c r="E73" i="2"/>
  <c r="G73" i="2" s="1"/>
  <c r="E73" i="4" s="1"/>
  <c r="F119" i="4"/>
  <c r="F78" i="4"/>
  <c r="G78" i="4" s="1"/>
  <c r="E142" i="4"/>
  <c r="D135" i="4"/>
  <c r="D111" i="4"/>
  <c r="F111" i="4" s="1"/>
  <c r="D63" i="4"/>
  <c r="G16" i="8"/>
  <c r="C16" i="4" s="1"/>
  <c r="E85" i="2"/>
  <c r="G85" i="2" s="1"/>
  <c r="E85" i="4" s="1"/>
  <c r="F95" i="4"/>
  <c r="G7" i="16"/>
  <c r="G21" i="16" s="1"/>
  <c r="E135" i="2"/>
  <c r="G135" i="2" s="1"/>
  <c r="E135" i="4" s="1"/>
  <c r="E87" i="2"/>
  <c r="G87" i="2" s="1"/>
  <c r="E87" i="4" s="1"/>
  <c r="E123" i="2"/>
  <c r="G123" i="2" s="1"/>
  <c r="E123" i="4" s="1"/>
  <c r="D130" i="4"/>
  <c r="F130" i="4" s="1"/>
  <c r="E63" i="2"/>
  <c r="G63" i="2" s="1"/>
  <c r="E63" i="4" s="1"/>
  <c r="D46" i="4"/>
  <c r="F46" i="4" s="1"/>
  <c r="D99" i="4"/>
  <c r="F99" i="4" s="1"/>
  <c r="E121" i="2"/>
  <c r="G121" i="2" s="1"/>
  <c r="E121" i="4" s="1"/>
  <c r="F126" i="4"/>
  <c r="G126" i="4" s="1"/>
  <c r="E8" i="16"/>
  <c r="E15" i="16" s="1"/>
  <c r="E22" i="16" s="1"/>
  <c r="L22" i="16"/>
  <c r="F91" i="4"/>
  <c r="G91" i="4" s="1"/>
  <c r="G92" i="4" s="1"/>
  <c r="D115" i="4"/>
  <c r="F115" i="4" s="1"/>
  <c r="D19" i="4"/>
  <c r="F19" i="4" s="1"/>
  <c r="D55" i="4"/>
  <c r="F55" i="4" s="1"/>
  <c r="D43" i="4"/>
  <c r="F43" i="4" s="1"/>
  <c r="D103" i="4"/>
  <c r="F103" i="4" s="1"/>
  <c r="D67" i="4"/>
  <c r="F67" i="4" s="1"/>
  <c r="D7" i="4"/>
  <c r="D79" i="4"/>
  <c r="F79" i="4" s="1"/>
  <c r="D127" i="4"/>
  <c r="F127" i="4" s="1"/>
  <c r="G108" i="2"/>
  <c r="E108" i="4" s="1"/>
  <c r="E96" i="2"/>
  <c r="G96" i="2" s="1"/>
  <c r="E96" i="4" s="1"/>
  <c r="E132" i="2"/>
  <c r="G132" i="2" s="1"/>
  <c r="E132" i="4" s="1"/>
  <c r="E72" i="2"/>
  <c r="G72" i="2" s="1"/>
  <c r="E72" i="4" s="1"/>
  <c r="E120" i="2"/>
  <c r="G120" i="2" s="1"/>
  <c r="E120" i="4" s="1"/>
  <c r="E60" i="2"/>
  <c r="G60" i="2" s="1"/>
  <c r="E60" i="4" s="1"/>
  <c r="E84" i="2"/>
  <c r="G84" i="2" s="1"/>
  <c r="E84" i="4" s="1"/>
  <c r="E143" i="4"/>
  <c r="O8" i="15"/>
  <c r="O12" i="15" s="1"/>
  <c r="H12" i="15"/>
  <c r="P12" i="15" s="1"/>
  <c r="M14" i="12"/>
  <c r="F9" i="4"/>
  <c r="F35" i="4"/>
  <c r="E137" i="4"/>
  <c r="F66" i="4"/>
  <c r="G66" i="4" s="1"/>
  <c r="F56" i="4"/>
  <c r="C139" i="4"/>
  <c r="C146" i="4"/>
  <c r="C141" i="4"/>
  <c r="C138" i="4"/>
  <c r="F30" i="4"/>
  <c r="G30" i="4" s="1"/>
  <c r="C140" i="4"/>
  <c r="F15" i="4"/>
  <c r="C147" i="4"/>
  <c r="C144" i="4"/>
  <c r="D50" i="4"/>
  <c r="F50" i="4" s="1"/>
  <c r="D122" i="4"/>
  <c r="D110" i="4"/>
  <c r="D86" i="4"/>
  <c r="F86" i="4" s="1"/>
  <c r="D134" i="4"/>
  <c r="D14" i="4"/>
  <c r="D26" i="4"/>
  <c r="F26" i="4" s="1"/>
  <c r="D38" i="4"/>
  <c r="F38" i="4" s="1"/>
  <c r="D74" i="4"/>
  <c r="F74" i="4" s="1"/>
  <c r="D98" i="4"/>
  <c r="D62" i="4"/>
  <c r="D108" i="4"/>
  <c r="D132" i="4"/>
  <c r="D48" i="4"/>
  <c r="F48" i="4" s="1"/>
  <c r="D12" i="4"/>
  <c r="D60" i="4"/>
  <c r="D120" i="4"/>
  <c r="D24" i="4"/>
  <c r="F24" i="4" s="1"/>
  <c r="D84" i="4"/>
  <c r="D81" i="4"/>
  <c r="F81" i="4" s="1"/>
  <c r="D117" i="4"/>
  <c r="F117" i="4" s="1"/>
  <c r="D33" i="4"/>
  <c r="F33" i="4" s="1"/>
  <c r="D105" i="4"/>
  <c r="F105" i="4" s="1"/>
  <c r="D57" i="4"/>
  <c r="F57" i="4" s="1"/>
  <c r="D45" i="4"/>
  <c r="F45" i="4" s="1"/>
  <c r="D93" i="4"/>
  <c r="F93" i="4" s="1"/>
  <c r="D129" i="4"/>
  <c r="F129" i="4" s="1"/>
  <c r="E141" i="4"/>
  <c r="E139" i="4"/>
  <c r="C14" i="12"/>
  <c r="E138" i="4"/>
  <c r="D22" i="4"/>
  <c r="F22" i="4" s="1"/>
  <c r="D94" i="4"/>
  <c r="F94" i="4" s="1"/>
  <c r="D70" i="4"/>
  <c r="F70" i="4" s="1"/>
  <c r="D118" i="4"/>
  <c r="F118" i="4" s="1"/>
  <c r="D34" i="4"/>
  <c r="F34" i="4" s="1"/>
  <c r="D58" i="4"/>
  <c r="F58" i="4" s="1"/>
  <c r="C143" i="4"/>
  <c r="D121" i="4"/>
  <c r="D85" i="4"/>
  <c r="D37" i="4"/>
  <c r="F37" i="4" s="1"/>
  <c r="D13" i="4"/>
  <c r="D109" i="4"/>
  <c r="G109" i="2"/>
  <c r="E109" i="4" s="1"/>
  <c r="E133" i="2"/>
  <c r="G133" i="2" s="1"/>
  <c r="E133" i="4" s="1"/>
  <c r="E61" i="2"/>
  <c r="G61" i="2" s="1"/>
  <c r="E61" i="4" s="1"/>
  <c r="E97" i="2"/>
  <c r="G97" i="2" s="1"/>
  <c r="E97" i="4" s="1"/>
  <c r="L5" i="16"/>
  <c r="E7" i="16"/>
  <c r="E14" i="16" s="1"/>
  <c r="H5" i="16"/>
  <c r="H12" i="19"/>
  <c r="C13" i="13"/>
  <c r="C8" i="16"/>
  <c r="C12" i="19"/>
  <c r="J21" i="16"/>
  <c r="O8" i="12"/>
  <c r="O7" i="19"/>
  <c r="O12" i="19" s="1"/>
  <c r="H14" i="12"/>
  <c r="M12" i="19"/>
  <c r="M7" i="16"/>
  <c r="F7" i="16"/>
  <c r="F14" i="16" s="1"/>
  <c r="F21" i="16" s="1"/>
  <c r="F15" i="12"/>
  <c r="F9" i="16"/>
  <c r="D7" i="16"/>
  <c r="F8" i="16"/>
  <c r="F15" i="16" s="1"/>
  <c r="J8" i="16"/>
  <c r="F121" i="4" l="1"/>
  <c r="F122" i="4"/>
  <c r="G43" i="4"/>
  <c r="G44" i="4" s="1"/>
  <c r="G45" i="4" s="1"/>
  <c r="G46" i="4" s="1"/>
  <c r="G47" i="4" s="1"/>
  <c r="G48" i="4" s="1"/>
  <c r="G49" i="4" s="1"/>
  <c r="G50" i="4" s="1"/>
  <c r="G51" i="4" s="1"/>
  <c r="O11" i="12"/>
  <c r="O14" i="12" s="1"/>
  <c r="F97" i="4"/>
  <c r="G55" i="4"/>
  <c r="C3" i="10"/>
  <c r="C6" i="10"/>
  <c r="C5" i="10"/>
  <c r="F110" i="4"/>
  <c r="O9" i="15"/>
  <c r="O13" i="15" s="1"/>
  <c r="F63" i="4"/>
  <c r="G103" i="4"/>
  <c r="G104" i="4" s="1"/>
  <c r="G105" i="4" s="1"/>
  <c r="G106" i="4" s="1"/>
  <c r="G107" i="4" s="1"/>
  <c r="F120" i="4"/>
  <c r="C16" i="13"/>
  <c r="C6" i="16"/>
  <c r="F96" i="4"/>
  <c r="L16" i="16"/>
  <c r="D143" i="4"/>
  <c r="F143" i="4" s="1"/>
  <c r="P15" i="13"/>
  <c r="E16" i="13"/>
  <c r="O9" i="13"/>
  <c r="O16" i="13" s="1"/>
  <c r="F135" i="4"/>
  <c r="C7" i="16"/>
  <c r="C14" i="16" s="1"/>
  <c r="C21" i="16" s="1"/>
  <c r="P13" i="19"/>
  <c r="C15" i="16"/>
  <c r="C22" i="16" s="1"/>
  <c r="K21" i="16"/>
  <c r="N22" i="16"/>
  <c r="O13" i="13"/>
  <c r="N21" i="16"/>
  <c r="F11" i="4"/>
  <c r="G29" i="8"/>
  <c r="C29" i="4" s="1"/>
  <c r="F98" i="4"/>
  <c r="L21" i="16"/>
  <c r="I21" i="16"/>
  <c r="F132" i="4"/>
  <c r="F133" i="4"/>
  <c r="G19" i="4"/>
  <c r="G20" i="4" s="1"/>
  <c r="G21" i="4" s="1"/>
  <c r="G22" i="4" s="1"/>
  <c r="G23" i="4" s="1"/>
  <c r="G24" i="4" s="1"/>
  <c r="G25" i="4" s="1"/>
  <c r="G26" i="4" s="1"/>
  <c r="G27" i="4" s="1"/>
  <c r="D140" i="4"/>
  <c r="F140" i="4" s="1"/>
  <c r="D13" i="16"/>
  <c r="F134" i="4"/>
  <c r="F84" i="4"/>
  <c r="F62" i="4"/>
  <c r="G115" i="4"/>
  <c r="G116" i="4" s="1"/>
  <c r="G117" i="4" s="1"/>
  <c r="G118" i="4" s="1"/>
  <c r="G119" i="4" s="1"/>
  <c r="F87" i="4"/>
  <c r="K20" i="16"/>
  <c r="F75" i="4"/>
  <c r="F123" i="4"/>
  <c r="G79" i="4"/>
  <c r="G80" i="4" s="1"/>
  <c r="G81" i="4" s="1"/>
  <c r="G82" i="4" s="1"/>
  <c r="G83" i="4" s="1"/>
  <c r="G31" i="4"/>
  <c r="G32" i="4" s="1"/>
  <c r="G33" i="4" s="1"/>
  <c r="G34" i="4" s="1"/>
  <c r="G35" i="4" s="1"/>
  <c r="G36" i="4" s="1"/>
  <c r="G37" i="4" s="1"/>
  <c r="G38" i="4" s="1"/>
  <c r="G39" i="4" s="1"/>
  <c r="F108" i="4"/>
  <c r="F72" i="4"/>
  <c r="F52" i="8"/>
  <c r="G52" i="8" s="1"/>
  <c r="C52" i="4" s="1"/>
  <c r="D147" i="4"/>
  <c r="D19" i="16"/>
  <c r="E15" i="12"/>
  <c r="F73" i="4"/>
  <c r="O9" i="12"/>
  <c r="I20" i="16"/>
  <c r="F85" i="4"/>
  <c r="E144" i="4"/>
  <c r="G20" i="16"/>
  <c r="O13" i="19"/>
  <c r="F60" i="4"/>
  <c r="E147" i="4"/>
  <c r="M21" i="16"/>
  <c r="M22" i="16"/>
  <c r="E21" i="16"/>
  <c r="F61" i="4"/>
  <c r="G127" i="4"/>
  <c r="G128" i="4" s="1"/>
  <c r="G129" i="4" s="1"/>
  <c r="G130" i="4" s="1"/>
  <c r="G131" i="4" s="1"/>
  <c r="D142" i="4"/>
  <c r="F142" i="4" s="1"/>
  <c r="P12" i="19"/>
  <c r="H19" i="16"/>
  <c r="M5" i="16"/>
  <c r="D141" i="4"/>
  <c r="F141" i="4" s="1"/>
  <c r="G19" i="16"/>
  <c r="H8" i="16"/>
  <c r="F109" i="4"/>
  <c r="C15" i="12"/>
  <c r="C9" i="16"/>
  <c r="D144" i="4"/>
  <c r="F12" i="4"/>
  <c r="G56" i="4"/>
  <c r="G57" i="4" s="1"/>
  <c r="G58" i="4" s="1"/>
  <c r="G59" i="4" s="1"/>
  <c r="H7" i="16"/>
  <c r="C14" i="10"/>
  <c r="C8" i="10"/>
  <c r="C11" i="10"/>
  <c r="C12" i="10"/>
  <c r="C13" i="10"/>
  <c r="C7" i="10"/>
  <c r="C4" i="10"/>
  <c r="C10" i="10"/>
  <c r="C9" i="10"/>
  <c r="D145" i="4"/>
  <c r="F145" i="4" s="1"/>
  <c r="F13" i="4"/>
  <c r="G93" i="4"/>
  <c r="G94" i="4" s="1"/>
  <c r="G95" i="4" s="1"/>
  <c r="G96" i="4" s="1"/>
  <c r="G97" i="4" s="1"/>
  <c r="F14" i="4"/>
  <c r="D146" i="4"/>
  <c r="F146" i="4" s="1"/>
  <c r="I9" i="16"/>
  <c r="F7" i="4"/>
  <c r="G7" i="4" s="1"/>
  <c r="G8" i="4" s="1"/>
  <c r="G9" i="4" s="1"/>
  <c r="G10" i="4" s="1"/>
  <c r="D139" i="4"/>
  <c r="F139" i="4" s="1"/>
  <c r="O12" i="12"/>
  <c r="F138" i="4"/>
  <c r="G138" i="4" s="1"/>
  <c r="G67" i="4"/>
  <c r="G68" i="4" s="1"/>
  <c r="G69" i="4" s="1"/>
  <c r="G70" i="4" s="1"/>
  <c r="G71" i="4" s="1"/>
  <c r="F53" i="8"/>
  <c r="G41" i="8"/>
  <c r="C41" i="4" s="1"/>
  <c r="G16" i="16"/>
  <c r="F19" i="16"/>
  <c r="F13" i="16"/>
  <c r="D14" i="16"/>
  <c r="E13" i="16"/>
  <c r="F22" i="16"/>
  <c r="J22" i="16"/>
  <c r="D22" i="16"/>
  <c r="G84" i="4" l="1"/>
  <c r="G11" i="4"/>
  <c r="L19" i="16"/>
  <c r="G120" i="4"/>
  <c r="G121" i="4" s="1"/>
  <c r="G122" i="4" s="1"/>
  <c r="G123" i="4" s="1"/>
  <c r="F64" i="8"/>
  <c r="F76" i="8" s="1"/>
  <c r="G132" i="4"/>
  <c r="G133" i="4" s="1"/>
  <c r="G134" i="4" s="1"/>
  <c r="G135" i="4" s="1"/>
  <c r="G60" i="4"/>
  <c r="G61" i="4" s="1"/>
  <c r="G62" i="4" s="1"/>
  <c r="G63" i="4" s="1"/>
  <c r="O6" i="16"/>
  <c r="O8" i="16"/>
  <c r="O15" i="12"/>
  <c r="O5" i="16"/>
  <c r="N16" i="16"/>
  <c r="K16" i="16"/>
  <c r="H16" i="16"/>
  <c r="O7" i="16"/>
  <c r="P14" i="16" s="1"/>
  <c r="C13" i="16"/>
  <c r="C20" i="16" s="1"/>
  <c r="O9" i="16"/>
  <c r="M16" i="16"/>
  <c r="G98" i="4"/>
  <c r="G99" i="4" s="1"/>
  <c r="G72" i="4"/>
  <c r="G73" i="4" s="1"/>
  <c r="G74" i="4" s="1"/>
  <c r="G75" i="4" s="1"/>
  <c r="J20" i="16"/>
  <c r="F144" i="4"/>
  <c r="F147" i="4"/>
  <c r="G108" i="4"/>
  <c r="G109" i="4" s="1"/>
  <c r="G110" i="4" s="1"/>
  <c r="G111" i="4" s="1"/>
  <c r="E19" i="16"/>
  <c r="N20" i="16"/>
  <c r="G85" i="4"/>
  <c r="G86" i="4" s="1"/>
  <c r="G87" i="4" s="1"/>
  <c r="L20" i="16"/>
  <c r="F20" i="16"/>
  <c r="K19" i="16"/>
  <c r="M19" i="16"/>
  <c r="J19" i="16"/>
  <c r="G139" i="4"/>
  <c r="G140" i="4" s="1"/>
  <c r="G141" i="4" s="1"/>
  <c r="G142" i="4" s="1"/>
  <c r="G143" i="4" s="1"/>
  <c r="J16" i="16"/>
  <c r="N19" i="16"/>
  <c r="I19" i="16"/>
  <c r="I16" i="16"/>
  <c r="M20" i="16"/>
  <c r="H22" i="16"/>
  <c r="G12" i="4"/>
  <c r="G13" i="4" s="1"/>
  <c r="G14" i="4" s="1"/>
  <c r="G15" i="4" s="1"/>
  <c r="K22" i="16"/>
  <c r="G53" i="8"/>
  <c r="C53" i="4" s="1"/>
  <c r="F65" i="8"/>
  <c r="H20" i="16"/>
  <c r="F16" i="16"/>
  <c r="D21" i="16"/>
  <c r="D16" i="16"/>
  <c r="E16" i="16"/>
  <c r="E20" i="16"/>
  <c r="D20" i="16"/>
  <c r="G64" i="8" l="1"/>
  <c r="C64" i="4" s="1"/>
  <c r="H21" i="16"/>
  <c r="C19" i="16"/>
  <c r="C16" i="16"/>
  <c r="P13" i="16"/>
  <c r="G144" i="4"/>
  <c r="G145" i="4" s="1"/>
  <c r="G146" i="4" s="1"/>
  <c r="G147" i="4" s="1"/>
  <c r="G76" i="8"/>
  <c r="C76" i="4" s="1"/>
  <c r="F88" i="8"/>
  <c r="G65" i="8"/>
  <c r="C65" i="4" s="1"/>
  <c r="F77" i="8"/>
  <c r="G88" i="8" l="1"/>
  <c r="C88" i="4" s="1"/>
  <c r="F100" i="8"/>
  <c r="F89" i="8"/>
  <c r="G77" i="8"/>
  <c r="C77" i="4" s="1"/>
  <c r="G100" i="8" l="1"/>
  <c r="C100" i="4" s="1"/>
  <c r="F112" i="8"/>
  <c r="F101" i="8"/>
  <c r="G89" i="8"/>
  <c r="C89" i="4" s="1"/>
  <c r="G112" i="8" l="1"/>
  <c r="C112" i="4" s="1"/>
  <c r="F124" i="8"/>
  <c r="G124" i="8" s="1"/>
  <c r="C124" i="4" s="1"/>
  <c r="F113" i="8"/>
  <c r="G101" i="8"/>
  <c r="C101" i="4" s="1"/>
  <c r="C136" i="4" l="1"/>
  <c r="G113" i="8"/>
  <c r="C113" i="4" s="1"/>
  <c r="F125" i="8"/>
  <c r="G125" i="8" s="1"/>
  <c r="C125" i="4" s="1"/>
  <c r="C137" i="4" l="1"/>
</calcChain>
</file>

<file path=xl/comments1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(Wilson + ElCap+ Sunpower +UCOP)/(Wilson+ElCap+Sunpower)</t>
        </r>
      </text>
    </comment>
  </commentList>
</comments>
</file>

<file path=xl/comments2.xml><?xml version="1.0" encoding="utf-8"?>
<comments xmlns="http://schemas.openxmlformats.org/spreadsheetml/2006/main">
  <authors>
    <author>ucmuser</author>
    <author>FMEnergy</author>
    <author>James Ly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PGE 0646833510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K12" authorId="2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</commentList>
</comments>
</file>

<file path=xl/comments3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=City of Merced $/(Actual*748/1000)</t>
        </r>
      </text>
    </comment>
  </commentList>
</comments>
</file>

<file path=xl/comments4.xml><?xml version="1.0" encoding="utf-8"?>
<comments xmlns="http://schemas.openxmlformats.org/spreadsheetml/2006/main">
  <authors>
    <author>John Elliott</author>
  </authors>
  <commentList>
    <comment ref="C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  <comment ref="F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5.xml><?xml version="1.0" encoding="utf-8"?>
<comments xmlns="http://schemas.openxmlformats.org/spreadsheetml/2006/main">
  <authors>
    <author>Sajid Mian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Water meter has been reset</t>
        </r>
      </text>
    </comment>
  </commentList>
</comments>
</file>

<file path=xl/sharedStrings.xml><?xml version="1.0" encoding="utf-8"?>
<sst xmlns="http://schemas.openxmlformats.org/spreadsheetml/2006/main" count="637" uniqueCount="150">
  <si>
    <t>Load Shape</t>
  </si>
  <si>
    <t>Total</t>
  </si>
  <si>
    <t>Dining Utility Summary</t>
  </si>
  <si>
    <t>Building</t>
  </si>
  <si>
    <t>Billing Month</t>
  </si>
  <si>
    <t>Check</t>
  </si>
  <si>
    <t>VALLEY DINING</t>
  </si>
  <si>
    <t>Electricity</t>
  </si>
  <si>
    <t>COMMONS</t>
  </si>
  <si>
    <t>Gas</t>
  </si>
  <si>
    <t>Water</t>
  </si>
  <si>
    <t>Chilled Water</t>
  </si>
  <si>
    <t>Dining Expansion</t>
  </si>
  <si>
    <t>CHECK Elec</t>
  </si>
  <si>
    <t>CHECK Gas</t>
  </si>
  <si>
    <t>CHECK Wat</t>
  </si>
  <si>
    <t>CHECK CHW</t>
  </si>
  <si>
    <t xml:space="preserve"> </t>
  </si>
  <si>
    <t>Notes: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</si>
  <si>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</si>
  <si>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</si>
  <si>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</si>
  <si>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</si>
  <si>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</si>
  <si>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</si>
  <si>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</si>
  <si>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</si>
  <si>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</si>
  <si>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</si>
  <si>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</si>
  <si>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</si>
  <si>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</si>
  <si>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</si>
  <si>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Reading (kWh)</t>
  </si>
  <si>
    <t>COMMONS (Terraces Dining)</t>
  </si>
  <si>
    <t>Usage (kWh)</t>
  </si>
  <si>
    <t>Charges</t>
  </si>
  <si>
    <t>DINING EXPANSION</t>
  </si>
  <si>
    <t>Total Usage (kWh)</t>
  </si>
  <si>
    <t>Total Charges</t>
  </si>
  <si>
    <t>(a) Unit Cost is calculated from the main campus feeder (El Capitan) bill from PG&amp;E (value comes from "electricity cost" tab</t>
  </si>
  <si>
    <t>(b) The total for the Dining portion for Jovanna</t>
  </si>
  <si>
    <t>Natural Gas</t>
  </si>
  <si>
    <t>Unit Cost
($/therm) (a)</t>
  </si>
  <si>
    <t>DINING BOILER</t>
  </si>
  <si>
    <t>Reading
(100 x cub-ft)</t>
  </si>
  <si>
    <t>Usage
(therms)</t>
  </si>
  <si>
    <t xml:space="preserve">Charges
</t>
  </si>
  <si>
    <t>LAUNDRY</t>
  </si>
  <si>
    <t>Current Meter
(100 x cub-ft)</t>
  </si>
  <si>
    <t>Total Usage (therms)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</si>
  <si>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</si>
  <si>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</si>
  <si>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Water and Sewer</t>
  </si>
  <si>
    <t>BUILDING</t>
  </si>
  <si>
    <t>Unit Cost
($/1000 gal)</t>
  </si>
  <si>
    <t>VALLEY</t>
  </si>
  <si>
    <t>Reading (gal)</t>
  </si>
  <si>
    <t>DINING COMMONS</t>
  </si>
  <si>
    <t>Usage (gal)</t>
  </si>
  <si>
    <t>(metered)</t>
  </si>
  <si>
    <t>Total Usage (gal)</t>
  </si>
  <si>
    <t>(a) Unit Cost is calculated from the main campus supply bill from the City of Merced.</t>
  </si>
  <si>
    <t>(b) Estimated bills are a size-weighted average of readings for Tulare, Kern, and San Joaquin Halls.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</si>
  <si>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</si>
  <si>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</si>
  <si>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</si>
  <si>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</si>
  <si>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</si>
  <si>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</si>
  <si>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</si>
  <si>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</si>
  <si>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</si>
  <si>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</si>
  <si>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</si>
  <si>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</si>
  <si>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</si>
  <si>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</si>
  <si>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</si>
  <si>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</si>
  <si>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</si>
  <si>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</si>
  <si>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</si>
  <si>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</si>
  <si>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</si>
  <si>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</si>
  <si>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</si>
  <si>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</si>
  <si>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</si>
  <si>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</si>
  <si>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</si>
  <si>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</si>
  <si>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</si>
  <si>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</si>
  <si>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</si>
  <si>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</si>
  <si>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</si>
  <si>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</si>
  <si>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</si>
  <si>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</si>
  <si>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</si>
  <si>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</si>
  <si>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</si>
  <si>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</si>
  <si>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</si>
  <si>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</si>
  <si>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</si>
  <si>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</si>
  <si>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</si>
  <si>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</si>
  <si>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</si>
  <si>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</si>
  <si>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</si>
  <si>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</si>
  <si>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</si>
  <si>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</si>
  <si>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</si>
  <si>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</si>
  <si>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</si>
  <si>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</si>
  <si>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</si>
  <si>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Unit Cost is calculated from the main campus feeder (El Capitan) bill from PG&amp;E.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</si>
  <si>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</si>
  <si>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</si>
  <si>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</si>
  <si>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</si>
  <si>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</si>
  <si>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</si>
  <si>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</si>
  <si>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</si>
  <si>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</si>
  <si>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</si>
  <si>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</si>
  <si>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</si>
  <si>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</si>
  <si>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</si>
  <si>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</si>
  <si>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</si>
  <si>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</si>
  <si>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</si>
  <si>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</si>
  <si>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Unit Cost
($/ton-hr)</t>
  </si>
  <si>
    <t>Usage (ton-hr)</t>
  </si>
  <si>
    <t>0214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</si>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</sst>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_(&quot;$&quot;* #,##0.000_);_(&quot;$&quot;* \(#,##0.000\);_(&quot;$&quot;* &quot;-&quot;??_);_(@_)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7.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12" applyNumberFormat="0" applyAlignment="0" applyProtection="0"/>
    <xf numFmtId="0" fontId="29" fillId="9" borderId="13" applyNumberFormat="0" applyAlignment="0" applyProtection="0"/>
    <xf numFmtId="0" fontId="30" fillId="9" borderId="12" applyNumberFormat="0" applyAlignment="0" applyProtection="0"/>
    <xf numFmtId="0" fontId="31" fillId="0" borderId="14" applyNumberFormat="0" applyFill="0" applyAlignment="0" applyProtection="0"/>
    <xf numFmtId="0" fontId="32" fillId="10" borderId="1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6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43" fontId="2" fillId="0" borderId="0" applyFont="0" applyFill="0" applyBorder="0" applyAlignment="0" applyProtection="0"/>
    <xf numFmtId="0" fontId="1" fillId="11" borderId="16" applyNumberFormat="0" applyFont="0" applyAlignment="0" applyProtection="0"/>
    <xf numFmtId="44" fontId="38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/>
    <xf numFmtId="0" fontId="1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168" fontId="0" fillId="0" borderId="0" xfId="1" applyNumberFormat="1" applyFont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166" fontId="5" fillId="0" borderId="0" xfId="0" applyNumberFormat="1" applyFont="1"/>
    <xf numFmtId="0" fontId="16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2" xfId="0" applyFont="1" applyBorder="1"/>
    <xf numFmtId="166" fontId="5" fillId="0" borderId="0" xfId="0" applyNumberFormat="1" applyFont="1" applyBorder="1"/>
    <xf numFmtId="166" fontId="5" fillId="0" borderId="0" xfId="0" applyNumberFormat="1" applyFont="1" applyBorder="1" applyAlignment="1">
      <alignment wrapText="1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5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4" fillId="0" borderId="0" xfId="0" applyFont="1" applyFill="1"/>
    <xf numFmtId="166" fontId="5" fillId="0" borderId="0" xfId="0" applyNumberFormat="1" applyFont="1" applyFill="1" applyBorder="1"/>
    <xf numFmtId="0" fontId="5" fillId="0" borderId="2" xfId="0" applyFont="1" applyFill="1" applyBorder="1"/>
    <xf numFmtId="3" fontId="4" fillId="0" borderId="0" xfId="0" applyNumberFormat="1" applyFont="1"/>
    <xf numFmtId="1" fontId="5" fillId="0" borderId="0" xfId="0" applyNumberFormat="1" applyFont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3" xfId="0" applyFill="1" applyBorder="1" applyAlignment="1">
      <alignment vertical="top"/>
    </xf>
    <xf numFmtId="0" fontId="0" fillId="0" borderId="2" xfId="0" applyFill="1" applyBorder="1"/>
    <xf numFmtId="0" fontId="0" fillId="0" borderId="3" xfId="0" applyFill="1" applyBorder="1"/>
    <xf numFmtId="3" fontId="4" fillId="0" borderId="0" xfId="0" applyNumberFormat="1" applyFont="1" applyFill="1"/>
    <xf numFmtId="0" fontId="0" fillId="0" borderId="3" xfId="0" applyBorder="1"/>
    <xf numFmtId="3" fontId="4" fillId="0" borderId="0" xfId="0" applyNumberFormat="1" applyFont="1" applyAlignment="1">
      <alignment vertical="top" wrapText="1"/>
    </xf>
    <xf numFmtId="169" fontId="5" fillId="3" borderId="0" xfId="0" applyNumberFormat="1" applyFont="1" applyFill="1" applyBorder="1"/>
    <xf numFmtId="173" fontId="5" fillId="0" borderId="2" xfId="0" applyNumberFormat="1" applyFont="1" applyFill="1" applyBorder="1"/>
    <xf numFmtId="3" fontId="5" fillId="0" borderId="0" xfId="0" applyNumberFormat="1" applyFont="1" applyFill="1" applyBorder="1" applyAlignment="1">
      <alignment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165" fontId="5" fillId="0" borderId="0" xfId="0" applyNumberFormat="1" applyFont="1" applyFill="1" applyAlignment="1"/>
    <xf numFmtId="0" fontId="0" fillId="0" borderId="0" xfId="0" applyFill="1"/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8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vertical="top" wrapText="1"/>
    </xf>
    <xf numFmtId="3" fontId="5" fillId="0" borderId="2" xfId="0" applyNumberFormat="1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169" fontId="5" fillId="4" borderId="6" xfId="0" applyNumberFormat="1" applyFont="1" applyFill="1" applyBorder="1"/>
    <xf numFmtId="0" fontId="4" fillId="0" borderId="0" xfId="0" applyFont="1" applyFill="1"/>
    <xf numFmtId="0" fontId="0" fillId="0" borderId="0" xfId="0"/>
    <xf numFmtId="0" fontId="5" fillId="0" borderId="0" xfId="0" applyFont="1"/>
    <xf numFmtId="0" fontId="5" fillId="0" borderId="0" xfId="0" applyFont="1" applyBorder="1"/>
    <xf numFmtId="169" fontId="5" fillId="0" borderId="0" xfId="0" applyNumberFormat="1" applyFont="1" applyFill="1"/>
    <xf numFmtId="169" fontId="5" fillId="0" borderId="0" xfId="0" applyNumberFormat="1" applyFont="1" applyFill="1" applyBorder="1"/>
    <xf numFmtId="169" fontId="5" fillId="4" borderId="0" xfId="0" applyNumberFormat="1" applyFont="1" applyFill="1" applyBorder="1"/>
    <xf numFmtId="0" fontId="5" fillId="0" borderId="3" xfId="0" applyFont="1" applyBorder="1" applyAlignment="1">
      <alignment wrapText="1"/>
    </xf>
    <xf numFmtId="169" fontId="5" fillId="0" borderId="8" xfId="0" applyNumberFormat="1" applyFont="1" applyFill="1" applyBorder="1"/>
    <xf numFmtId="165" fontId="5" fillId="0" borderId="3" xfId="0" applyNumberFormat="1" applyFont="1" applyFill="1" applyBorder="1"/>
    <xf numFmtId="0" fontId="5" fillId="0" borderId="2" xfId="0" applyFont="1" applyFill="1" applyBorder="1" applyAlignment="1">
      <alignment vertical="top" wrapText="1"/>
    </xf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horizontal="right" wrapText="1"/>
    </xf>
    <xf numFmtId="165" fontId="5" fillId="0" borderId="3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/>
    </xf>
    <xf numFmtId="171" fontId="5" fillId="0" borderId="3" xfId="0" applyNumberFormat="1" applyFont="1" applyFill="1" applyBorder="1" applyAlignment="1">
      <alignment vertical="top"/>
    </xf>
    <xf numFmtId="0" fontId="37" fillId="0" borderId="0" xfId="0" applyFont="1"/>
    <xf numFmtId="0" fontId="37" fillId="0" borderId="0" xfId="0" quotePrefix="1" applyFont="1" applyBorder="1"/>
    <xf numFmtId="173" fontId="5" fillId="0" borderId="4" xfId="0" applyNumberFormat="1" applyFont="1" applyFill="1" applyBorder="1"/>
    <xf numFmtId="44" fontId="5" fillId="0" borderId="0" xfId="68" applyFont="1" applyFill="1" applyBorder="1"/>
    <xf numFmtId="4" fontId="39" fillId="0" borderId="0" xfId="0" applyNumberFormat="1" applyFont="1"/>
    <xf numFmtId="171" fontId="5" fillId="0" borderId="0" xfId="0" applyNumberFormat="1" applyFont="1" applyFill="1" applyBorder="1" applyAlignment="1">
      <alignment vertical="top"/>
    </xf>
    <xf numFmtId="167" fontId="5" fillId="0" borderId="0" xfId="0" applyNumberFormat="1" applyFont="1" applyFill="1" applyBorder="1" applyAlignment="1">
      <alignment vertical="top" wrapText="1"/>
    </xf>
    <xf numFmtId="171" fontId="19" fillId="0" borderId="3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66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173" fontId="5" fillId="0" borderId="19" xfId="0" applyNumberFormat="1" applyFont="1" applyFill="1" applyBorder="1"/>
    <xf numFmtId="166" fontId="5" fillId="0" borderId="8" xfId="0" applyNumberFormat="1" applyFont="1" applyFill="1" applyBorder="1"/>
    <xf numFmtId="0" fontId="5" fillId="0" borderId="18" xfId="0" applyFont="1" applyFill="1" applyBorder="1"/>
    <xf numFmtId="3" fontId="5" fillId="0" borderId="8" xfId="0" applyNumberFormat="1" applyFont="1" applyFill="1" applyBorder="1"/>
    <xf numFmtId="165" fontId="5" fillId="0" borderId="8" xfId="0" applyNumberFormat="1" applyFont="1" applyFill="1" applyBorder="1"/>
    <xf numFmtId="165" fontId="5" fillId="0" borderId="20" xfId="0" applyNumberFormat="1" applyFont="1" applyFill="1" applyBorder="1"/>
    <xf numFmtId="173" fontId="5" fillId="0" borderId="18" xfId="0" applyNumberFormat="1" applyFont="1" applyFill="1" applyBorder="1"/>
    <xf numFmtId="171" fontId="19" fillId="0" borderId="20" xfId="0" applyNumberFormat="1" applyFont="1" applyFill="1" applyBorder="1" applyAlignment="1">
      <alignment vertical="top"/>
    </xf>
    <xf numFmtId="0" fontId="5" fillId="0" borderId="8" xfId="0" applyFont="1" applyFill="1" applyBorder="1"/>
    <xf numFmtId="0" fontId="5" fillId="0" borderId="20" xfId="0" applyFont="1" applyFill="1" applyBorder="1"/>
    <xf numFmtId="3" fontId="5" fillId="0" borderId="8" xfId="0" applyNumberFormat="1" applyFont="1" applyFill="1" applyBorder="1" applyAlignment="1">
      <alignment vertical="top" wrapText="1"/>
    </xf>
    <xf numFmtId="173" fontId="5" fillId="0" borderId="3" xfId="0" applyNumberFormat="1" applyFont="1" applyFill="1" applyBorder="1"/>
    <xf numFmtId="0" fontId="5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165" fontId="4" fillId="0" borderId="0" xfId="0" applyNumberFormat="1" applyFont="1" applyBorder="1" applyAlignment="1">
      <alignment vertical="top"/>
    </xf>
    <xf numFmtId="3" fontId="4" fillId="0" borderId="0" xfId="0" applyNumberFormat="1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5" fontId="4" fillId="0" borderId="1" xfId="0" applyNumberFormat="1" applyFont="1" applyFill="1" applyBorder="1" applyAlignment="1">
      <alignment horizontal="center"/>
    </xf>
    <xf numFmtId="165" fontId="4" fillId="0" borderId="1" xfId="0" quotePrefix="1" applyNumberFormat="1" applyFont="1" applyFill="1" applyBorder="1" applyAlignment="1">
      <alignment horizontal="center"/>
    </xf>
    <xf numFmtId="165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vertical="center" wrapText="1"/>
    </xf>
    <xf numFmtId="165" fontId="4" fillId="0" borderId="0" xfId="0" applyNumberFormat="1" applyFont="1"/>
    <xf numFmtId="174" fontId="5" fillId="0" borderId="0" xfId="4" quotePrefix="1" applyNumberFormat="1" applyFont="1" applyFill="1" applyBorder="1" applyAlignment="1">
      <alignment horizontal="center"/>
    </xf>
    <xf numFmtId="174" fontId="5" fillId="0" borderId="0" xfId="0" applyNumberFormat="1" applyFont="1" applyFill="1"/>
    <xf numFmtId="16" fontId="5" fillId="0" borderId="0" xfId="0" applyNumberFormat="1" applyFont="1"/>
    <xf numFmtId="0" fontId="42" fillId="0" borderId="0" xfId="0" applyFont="1"/>
    <xf numFmtId="3" fontId="19" fillId="0" borderId="0" xfId="0" applyNumberFormat="1" applyFont="1" applyFill="1" applyBorder="1"/>
    <xf numFmtId="165" fontId="5" fillId="0" borderId="0" xfId="68" applyNumberFormat="1" applyFont="1" applyFill="1" applyBorder="1"/>
    <xf numFmtId="0" fontId="5" fillId="0" borderId="0" xfId="0" applyFont="1" applyFill="1" applyBorder="1" applyAlignment="1">
      <alignment horizontal="left" vertical="top" wrapText="1"/>
    </xf>
    <xf numFmtId="39" fontId="5" fillId="0" borderId="0" xfId="0" applyNumberFormat="1" applyFont="1" applyFill="1" applyBorder="1"/>
    <xf numFmtId="39" fontId="5" fillId="0" borderId="0" xfId="0" applyNumberFormat="1" applyFont="1"/>
    <xf numFmtId="39" fontId="5" fillId="0" borderId="3" xfId="0" applyNumberFormat="1" applyFont="1" applyFill="1" applyBorder="1"/>
    <xf numFmtId="39" fontId="5" fillId="0" borderId="3" xfId="0" applyNumberFormat="1" applyFont="1" applyBorder="1"/>
    <xf numFmtId="171" fontId="5" fillId="0" borderId="20" xfId="0" applyNumberFormat="1" applyFont="1" applyFill="1" applyBorder="1" applyAlignment="1">
      <alignment vertical="top"/>
    </xf>
    <xf numFmtId="166" fontId="5" fillId="0" borderId="0" xfId="0" applyNumberFormat="1" applyFont="1" applyFill="1"/>
    <xf numFmtId="16" fontId="5" fillId="0" borderId="0" xfId="0" applyNumberFormat="1" applyFont="1" applyFill="1"/>
    <xf numFmtId="171" fontId="16" fillId="0" borderId="3" xfId="0" applyNumberFormat="1" applyFont="1" applyFill="1" applyBorder="1" applyAlignment="1">
      <alignment vertical="top"/>
    </xf>
    <xf numFmtId="3" fontId="5" fillId="0" borderId="0" xfId="0" applyNumberFormat="1" applyFont="1" applyFill="1"/>
    <xf numFmtId="175" fontId="5" fillId="0" borderId="0" xfId="68" applyNumberFormat="1" applyFont="1" applyFill="1" applyBorder="1"/>
    <xf numFmtId="44" fontId="5" fillId="0" borderId="0" xfId="68" applyNumberFormat="1" applyFont="1" applyFill="1" applyBorder="1"/>
    <xf numFmtId="165" fontId="5" fillId="0" borderId="0" xfId="2" applyNumberFormat="1" applyFont="1" applyFill="1" applyBorder="1"/>
    <xf numFmtId="165" fontId="5" fillId="0" borderId="0" xfId="0" applyNumberFormat="1" applyFont="1" applyFill="1"/>
    <xf numFmtId="165" fontId="5" fillId="0" borderId="0" xfId="68" applyNumberFormat="1" applyFont="1" applyFill="1"/>
    <xf numFmtId="165" fontId="5" fillId="0" borderId="0" xfId="2" applyNumberFormat="1" applyFont="1" applyFill="1"/>
    <xf numFmtId="171" fontId="5" fillId="0" borderId="0" xfId="0" applyNumberFormat="1" applyFont="1" applyFill="1" applyBorder="1"/>
    <xf numFmtId="16" fontId="4" fillId="0" borderId="0" xfId="0" applyNumberFormat="1" applyFont="1"/>
    <xf numFmtId="2" fontId="5" fillId="0" borderId="0" xfId="0" applyNumberFormat="1" applyFont="1" applyFill="1" applyBorder="1"/>
    <xf numFmtId="171" fontId="16" fillId="0" borderId="0" xfId="0" applyNumberFormat="1" applyFont="1" applyFill="1" applyBorder="1" applyAlignment="1">
      <alignment vertical="top"/>
    </xf>
    <xf numFmtId="171" fontId="19" fillId="0" borderId="0" xfId="0" applyNumberFormat="1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44" fontId="5" fillId="0" borderId="8" xfId="68" applyNumberFormat="1" applyFont="1" applyFill="1" applyBorder="1"/>
  </cellXfs>
  <cellStyles count="69">
    <cellStyle name="20% - Accent1" xfId="23"/>
    <cellStyle name="20% - Accent1 2" xfId="52"/>
    <cellStyle name="20% - Accent2" xfId="27"/>
    <cellStyle name="20% - Accent2 2" xfId="54"/>
    <cellStyle name="20% - Accent3" xfId="31"/>
    <cellStyle name="20% - Accent3 2" xfId="56"/>
    <cellStyle name="20% - Accent4" xfId="35"/>
    <cellStyle name="20% - Accent4 2" xfId="58"/>
    <cellStyle name="20% - Accent5" xfId="39"/>
    <cellStyle name="20% - Accent5 2" xfId="60"/>
    <cellStyle name="20% - Accent6" xfId="43"/>
    <cellStyle name="20% - Accent6 2" xfId="62"/>
    <cellStyle name="40% - Accent1" xfId="24"/>
    <cellStyle name="40% - Accent1 2" xfId="53"/>
    <cellStyle name="40% - Accent2" xfId="28"/>
    <cellStyle name="40% - Accent2 2" xfId="55"/>
    <cellStyle name="40% - Accent3" xfId="32"/>
    <cellStyle name="40% - Accent3 2" xfId="57"/>
    <cellStyle name="40% - Accent4" xfId="36"/>
    <cellStyle name="40% - Accent4 2" xfId="59"/>
    <cellStyle name="40% - Accent5" xfId="40"/>
    <cellStyle name="40% - Accent5 2" xfId="61"/>
    <cellStyle name="40% - Accent6" xfId="44"/>
    <cellStyle name="40% - Accent6 2" xfId="63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2" builtinId="3"/>
    <cellStyle name="Comma 2" xfId="4"/>
    <cellStyle name="Comma 3" xfId="48"/>
    <cellStyle name="Comma 3 2" xfId="66"/>
    <cellStyle name="Currency" xfId="68" builtinId="4"/>
    <cellStyle name="Currency 2" xfId="5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/>
    <cellStyle name="Normal 3" xfId="46"/>
    <cellStyle name="Normal 3 2" xfId="49"/>
    <cellStyle name="Normal 3 3" xfId="64"/>
    <cellStyle name="Note" xfId="67"/>
    <cellStyle name="Note 2" xfId="47"/>
    <cellStyle name="Note 2 2" xfId="65"/>
    <cellStyle name="Output" xfId="15" builtinId="21" customBuiltin="1"/>
    <cellStyle name="Percent" xfId="1" builtinId="5"/>
    <cellStyle name="Percent 2" xfId="50"/>
    <cellStyle name="Percent 3" xfId="5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s="146" t="s">
        <v>0</v>
      </c>
      <c r="B1" s="146"/>
      <c r="C1" s="146"/>
    </row>
    <row r="3" spans="1:3" x14ac:dyDescent="0.2">
      <c r="A3" s="146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47">
        <f>B3/$B$16</f>
        <v>7.3550554836249837E-2</v>
      </c>
    </row>
    <row r="4" spans="1:3" x14ac:dyDescent="0.2">
      <c r="A4" s="146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47">
        <f t="shared" ref="C4:C14" si="0">B4/$B$16</f>
        <v>0.11895419125765531</v>
      </c>
    </row>
    <row r="5" spans="1:3" x14ac:dyDescent="0.2">
      <c r="A5" s="146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47">
        <f t="shared" si="0"/>
        <v>9.6289441562808623E-2</v>
      </c>
    </row>
    <row r="6" spans="1:3" x14ac:dyDescent="0.2">
      <c r="A6" s="14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47">
        <f t="shared" si="0"/>
        <v>9.8258044529878547E-2</v>
      </c>
    </row>
    <row r="7" spans="1:3" x14ac:dyDescent="0.2">
      <c r="A7" s="146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47">
        <f t="shared" si="0"/>
        <v>7.5106108626637968E-2</v>
      </c>
    </row>
    <row r="8" spans="1:3" x14ac:dyDescent="0.2">
      <c r="A8" s="146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47">
        <f t="shared" si="0"/>
        <v>4.0707849787782746E-2</v>
      </c>
    </row>
    <row r="9" spans="1:3" x14ac:dyDescent="0.2">
      <c r="A9" s="146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47">
        <f t="shared" si="0"/>
        <v>5.8799933276671462E-2</v>
      </c>
    </row>
    <row r="10" spans="1:3" x14ac:dyDescent="0.2">
      <c r="A10" s="146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47">
        <f t="shared" si="0"/>
        <v>7.8693811411277834E-2</v>
      </c>
    </row>
    <row r="11" spans="1:3" x14ac:dyDescent="0.2">
      <c r="A11" s="146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47">
        <f t="shared" si="0"/>
        <v>8.1626195790605247E-2</v>
      </c>
    </row>
    <row r="12" spans="1:3" x14ac:dyDescent="0.2">
      <c r="A12" s="146" t="str">
        <f>'Electric old'!B13</f>
        <v>OCTOBER</v>
      </c>
      <c r="B12" s="46">
        <v>70000</v>
      </c>
      <c r="C12" s="47">
        <f t="shared" si="0"/>
        <v>9.267128964014415E-2</v>
      </c>
    </row>
    <row r="13" spans="1:3" x14ac:dyDescent="0.2">
      <c r="A13" s="146" t="str">
        <f>'Electric old'!B14</f>
        <v>NOVEMBER</v>
      </c>
      <c r="B13" s="46">
        <v>70000</v>
      </c>
      <c r="C13" s="47">
        <f t="shared" si="0"/>
        <v>9.267128964014415E-2</v>
      </c>
    </row>
    <row r="14" spans="1:3" x14ac:dyDescent="0.2">
      <c r="A14" s="146" t="str">
        <f>'Electric old'!B15</f>
        <v>DECEMBER</v>
      </c>
      <c r="B14" s="46">
        <v>70000</v>
      </c>
      <c r="C14" s="47">
        <f t="shared" si="0"/>
        <v>9.267128964014415E-2</v>
      </c>
    </row>
    <row r="16" spans="1:3" x14ac:dyDescent="0.2">
      <c r="A16" s="146" t="s">
        <v>1</v>
      </c>
      <c r="B16" s="7">
        <f>SUM(B3:B15)</f>
        <v>755358</v>
      </c>
      <c r="C16" s="146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1" t="s">
        <v>126</v>
      </c>
      <c r="B1" s="146"/>
      <c r="H1" s="146"/>
      <c r="I1" s="146"/>
      <c r="J1" s="146"/>
      <c r="K1" s="146"/>
    </row>
    <row r="2" spans="1:11" ht="18" x14ac:dyDescent="0.25">
      <c r="A2" s="10"/>
      <c r="B2" s="146"/>
      <c r="H2" s="146"/>
      <c r="I2" s="146"/>
      <c r="J2" s="146"/>
      <c r="K2" s="146"/>
    </row>
    <row r="3" spans="1:11" ht="25.5" x14ac:dyDescent="0.2">
      <c r="A3" s="32" t="s">
        <v>54</v>
      </c>
      <c r="B3" s="26" t="s">
        <v>4</v>
      </c>
      <c r="C3" s="26" t="s">
        <v>103</v>
      </c>
      <c r="D3" s="26" t="s">
        <v>127</v>
      </c>
      <c r="E3" s="26" t="s">
        <v>128</v>
      </c>
      <c r="F3" s="26" t="s">
        <v>55</v>
      </c>
      <c r="G3" s="26" t="s">
        <v>36</v>
      </c>
      <c r="H3" s="146"/>
      <c r="I3" s="146"/>
      <c r="J3" s="146"/>
      <c r="K3" s="146"/>
    </row>
    <row r="4" spans="1:11" x14ac:dyDescent="0.2">
      <c r="A4" s="240" t="s">
        <v>129</v>
      </c>
      <c r="B4" s="6" t="s">
        <v>106</v>
      </c>
      <c r="C4" s="12"/>
      <c r="D4" s="13"/>
      <c r="E4" s="13"/>
      <c r="F4" s="13"/>
      <c r="G4" s="14"/>
      <c r="H4" s="146"/>
      <c r="I4" s="146"/>
      <c r="J4" s="146"/>
      <c r="K4" s="146"/>
    </row>
    <row r="5" spans="1:11" x14ac:dyDescent="0.2">
      <c r="A5" s="240"/>
      <c r="B5" s="6" t="s">
        <v>107</v>
      </c>
      <c r="C5" s="12"/>
      <c r="D5" s="13"/>
      <c r="E5" s="13"/>
      <c r="F5" s="13"/>
      <c r="G5" s="14"/>
      <c r="H5" s="146"/>
      <c r="I5" s="146"/>
      <c r="J5" s="146"/>
      <c r="K5" s="146"/>
    </row>
    <row r="6" spans="1:11" x14ac:dyDescent="0.2">
      <c r="A6" s="240"/>
      <c r="B6" s="6" t="s">
        <v>109</v>
      </c>
      <c r="C6" s="12"/>
      <c r="D6" s="13"/>
      <c r="E6" s="13"/>
      <c r="F6" s="13"/>
      <c r="G6" s="14"/>
      <c r="H6" s="146"/>
      <c r="I6" s="146"/>
      <c r="J6" s="146"/>
      <c r="K6" s="146"/>
    </row>
    <row r="7" spans="1:11" x14ac:dyDescent="0.2">
      <c r="A7" s="240"/>
      <c r="B7" s="6" t="s">
        <v>111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40"/>
      <c r="B8" s="6" t="s">
        <v>113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40"/>
      <c r="B9" s="6" t="s">
        <v>114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40"/>
      <c r="B10" s="6" t="s">
        <v>115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40"/>
      <c r="B11" s="6" t="s">
        <v>116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40"/>
      <c r="B12" s="6" t="s">
        <v>117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40"/>
      <c r="B13" s="6" t="s">
        <v>118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40"/>
      <c r="B14" s="6" t="s">
        <v>119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40"/>
      <c r="B15" s="6" t="s">
        <v>120</v>
      </c>
      <c r="C15" s="12">
        <v>38725</v>
      </c>
      <c r="D15" s="59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40" t="s">
        <v>130</v>
      </c>
      <c r="B16" s="6" t="s">
        <v>106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40"/>
      <c r="B17" s="6" t="s">
        <v>107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40"/>
      <c r="B18" s="6" t="s">
        <v>109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40"/>
      <c r="B19" s="6" t="s">
        <v>111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40"/>
      <c r="B20" s="6" t="s">
        <v>113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40"/>
      <c r="B21" s="6" t="s">
        <v>114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40"/>
      <c r="B22" s="6" t="s">
        <v>115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40"/>
      <c r="B23" s="6" t="s">
        <v>116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H23" s="146"/>
      <c r="I23" s="11"/>
      <c r="J23" s="146"/>
      <c r="K23" s="146"/>
    </row>
    <row r="24" spans="1:11" x14ac:dyDescent="0.2">
      <c r="A24" s="240"/>
      <c r="B24" s="6" t="s">
        <v>117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H24" s="146"/>
      <c r="I24" s="1"/>
      <c r="J24" s="146"/>
      <c r="K24" s="146"/>
    </row>
    <row r="25" spans="1:11" x14ac:dyDescent="0.2">
      <c r="A25" s="240"/>
      <c r="B25" s="6" t="s">
        <v>118</v>
      </c>
      <c r="C25" s="12">
        <v>39035</v>
      </c>
      <c r="D25" s="13" t="s">
        <v>131</v>
      </c>
      <c r="E25" s="13" t="s">
        <v>131</v>
      </c>
      <c r="F25" s="25">
        <v>1.4306000000000001</v>
      </c>
      <c r="G25" s="13" t="s">
        <v>131</v>
      </c>
      <c r="H25" s="146"/>
      <c r="I25" s="7"/>
      <c r="J25" s="146"/>
      <c r="K25" s="146"/>
    </row>
    <row r="26" spans="1:11" x14ac:dyDescent="0.2">
      <c r="A26" s="240"/>
      <c r="B26" s="6" t="s">
        <v>119</v>
      </c>
      <c r="C26" s="12">
        <v>39056</v>
      </c>
      <c r="D26" s="13" t="s">
        <v>131</v>
      </c>
      <c r="E26" s="13" t="s">
        <v>131</v>
      </c>
      <c r="F26" s="25">
        <v>1.4339999999999999</v>
      </c>
      <c r="G26" s="13" t="s">
        <v>131</v>
      </c>
      <c r="H26" s="146"/>
      <c r="I26" s="146"/>
      <c r="J26" s="146"/>
      <c r="K26" s="146"/>
    </row>
    <row r="27" spans="1:11" x14ac:dyDescent="0.2">
      <c r="A27" s="240"/>
      <c r="B27" s="6" t="s">
        <v>120</v>
      </c>
      <c r="C27" s="12">
        <v>38725</v>
      </c>
      <c r="D27" s="59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  <c r="H27" s="146"/>
      <c r="I27" s="146"/>
      <c r="J27" s="146"/>
      <c r="K27" s="146"/>
    </row>
    <row r="28" spans="1:11" x14ac:dyDescent="0.2">
      <c r="A28" s="240" t="s">
        <v>132</v>
      </c>
      <c r="B28" s="6" t="s">
        <v>106</v>
      </c>
      <c r="C28" s="12"/>
      <c r="D28" s="13"/>
      <c r="E28" s="13"/>
      <c r="F28" s="13"/>
      <c r="G28" s="14"/>
      <c r="H28" s="146"/>
      <c r="I28" s="146"/>
      <c r="J28" s="146"/>
      <c r="K28" s="146"/>
    </row>
    <row r="29" spans="1:11" x14ac:dyDescent="0.2">
      <c r="A29" s="240"/>
      <c r="B29" s="6" t="s">
        <v>107</v>
      </c>
      <c r="C29" s="12"/>
      <c r="D29" s="13"/>
      <c r="E29" s="13"/>
      <c r="F29" s="13"/>
      <c r="G29" s="14"/>
      <c r="H29" s="146"/>
      <c r="I29" s="146"/>
      <c r="J29" s="146"/>
      <c r="K29" s="146"/>
    </row>
    <row r="30" spans="1:11" x14ac:dyDescent="0.2">
      <c r="A30" s="240"/>
      <c r="B30" s="6" t="s">
        <v>109</v>
      </c>
      <c r="C30" s="12"/>
      <c r="D30" s="13">
        <v>187391</v>
      </c>
      <c r="E30" s="13"/>
      <c r="F30" s="13"/>
      <c r="G30" s="14"/>
      <c r="H30" s="146"/>
      <c r="I30" s="146"/>
      <c r="J30" s="146"/>
      <c r="K30" s="146"/>
    </row>
    <row r="31" spans="1:11" x14ac:dyDescent="0.2">
      <c r="A31" s="240"/>
      <c r="B31" s="6" t="s">
        <v>111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  <c r="H31" s="146"/>
      <c r="I31" s="146"/>
      <c r="J31" s="146"/>
      <c r="K31" s="146"/>
    </row>
    <row r="32" spans="1:11" x14ac:dyDescent="0.2">
      <c r="A32" s="240"/>
      <c r="B32" s="6" t="s">
        <v>113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  <c r="H32" s="146"/>
      <c r="I32" s="146"/>
      <c r="J32" s="146"/>
      <c r="K32" s="146"/>
    </row>
    <row r="33" spans="1:10" x14ac:dyDescent="0.2">
      <c r="A33" s="240"/>
      <c r="B33" s="6" t="s">
        <v>114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  <c r="H33" s="146"/>
      <c r="I33" s="146"/>
      <c r="J33" s="146"/>
    </row>
    <row r="34" spans="1:10" x14ac:dyDescent="0.2">
      <c r="A34" s="240"/>
      <c r="B34" s="6" t="s">
        <v>115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H34" s="146"/>
      <c r="I34" s="7"/>
      <c r="J34" s="146"/>
    </row>
    <row r="35" spans="1:10" x14ac:dyDescent="0.2">
      <c r="A35" s="240"/>
      <c r="B35" s="6" t="s">
        <v>116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H35" s="146"/>
      <c r="I35" s="11"/>
      <c r="J35" s="146"/>
    </row>
    <row r="36" spans="1:10" x14ac:dyDescent="0.2">
      <c r="A36" s="240"/>
      <c r="B36" s="6" t="s">
        <v>117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H36" s="146"/>
      <c r="I36" s="1"/>
      <c r="J36" s="146"/>
    </row>
    <row r="37" spans="1:10" x14ac:dyDescent="0.2">
      <c r="A37" s="240"/>
      <c r="B37" s="6" t="s">
        <v>118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H37" s="146"/>
      <c r="I37" s="17"/>
      <c r="J37" s="146"/>
    </row>
    <row r="38" spans="1:10" x14ac:dyDescent="0.2">
      <c r="A38" s="240"/>
      <c r="B38" s="6" t="s">
        <v>119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H38" s="146"/>
      <c r="I38" s="7"/>
      <c r="J38" s="7"/>
    </row>
    <row r="39" spans="1:10" x14ac:dyDescent="0.2">
      <c r="A39" s="240"/>
      <c r="B39" s="6" t="s">
        <v>120</v>
      </c>
      <c r="C39" s="12">
        <v>38725</v>
      </c>
      <c r="D39" s="59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  <c r="H39" s="146"/>
      <c r="I39" s="146"/>
      <c r="J39" s="146"/>
    </row>
    <row r="40" spans="1:10" x14ac:dyDescent="0.2">
      <c r="A40" s="240" t="s">
        <v>133</v>
      </c>
      <c r="B40" s="6" t="s">
        <v>106</v>
      </c>
      <c r="C40" s="12"/>
      <c r="D40" s="13"/>
      <c r="E40" s="13"/>
      <c r="F40" s="13"/>
      <c r="G40" s="14"/>
      <c r="H40" s="146"/>
      <c r="I40" s="146"/>
      <c r="J40" s="146"/>
    </row>
    <row r="41" spans="1:10" x14ac:dyDescent="0.2">
      <c r="A41" s="240"/>
      <c r="B41" s="6" t="s">
        <v>107</v>
      </c>
      <c r="C41" s="12"/>
      <c r="D41" s="13"/>
      <c r="E41" s="13"/>
      <c r="F41" s="13"/>
      <c r="G41" s="14"/>
      <c r="H41" s="146"/>
      <c r="I41" s="146"/>
      <c r="J41" s="146"/>
    </row>
    <row r="42" spans="1:10" x14ac:dyDescent="0.2">
      <c r="A42" s="240"/>
      <c r="B42" s="6" t="s">
        <v>109</v>
      </c>
      <c r="C42" s="12"/>
      <c r="D42" s="13">
        <v>507695</v>
      </c>
      <c r="E42" s="13"/>
      <c r="F42" s="13"/>
      <c r="G42" s="14"/>
      <c r="H42" s="146"/>
      <c r="I42" s="146"/>
      <c r="J42" s="146"/>
    </row>
    <row r="43" spans="1:10" x14ac:dyDescent="0.2">
      <c r="A43" s="240"/>
      <c r="B43" s="6" t="s">
        <v>111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H43" s="146"/>
      <c r="I43" s="7"/>
      <c r="J43" s="146"/>
    </row>
    <row r="44" spans="1:10" x14ac:dyDescent="0.2">
      <c r="A44" s="240"/>
      <c r="B44" s="6" t="s">
        <v>113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  <c r="H44" s="146"/>
      <c r="I44" s="146"/>
      <c r="J44" s="146"/>
    </row>
    <row r="45" spans="1:10" x14ac:dyDescent="0.2">
      <c r="A45" s="240"/>
      <c r="B45" s="6" t="s">
        <v>114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  <c r="H45" s="146"/>
      <c r="I45" s="146"/>
      <c r="J45" s="146"/>
    </row>
    <row r="46" spans="1:10" x14ac:dyDescent="0.2">
      <c r="A46" s="240"/>
      <c r="B46" s="6" t="s">
        <v>115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  <c r="H46" s="146"/>
      <c r="I46" s="146"/>
      <c r="J46" s="146"/>
    </row>
    <row r="47" spans="1:10" x14ac:dyDescent="0.2">
      <c r="A47" s="240"/>
      <c r="B47" s="6" t="s">
        <v>116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  <c r="H47" s="146"/>
      <c r="I47" s="146"/>
      <c r="J47" s="146"/>
    </row>
    <row r="48" spans="1:10" x14ac:dyDescent="0.2">
      <c r="A48" s="240"/>
      <c r="B48" s="6" t="s">
        <v>117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  <c r="H48" s="146"/>
      <c r="I48" s="146"/>
      <c r="J48" s="146"/>
    </row>
    <row r="49" spans="1:7" x14ac:dyDescent="0.2">
      <c r="A49" s="240"/>
      <c r="B49" s="6" t="s">
        <v>118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40"/>
      <c r="B50" s="6" t="s">
        <v>119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40"/>
      <c r="B51" s="6" t="s">
        <v>120</v>
      </c>
      <c r="C51" s="12">
        <v>38725</v>
      </c>
      <c r="D51" s="59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40" t="s">
        <v>134</v>
      </c>
      <c r="B52" s="6" t="s">
        <v>106</v>
      </c>
      <c r="C52" s="12"/>
      <c r="D52" s="13"/>
      <c r="E52" s="13"/>
      <c r="F52" s="13"/>
      <c r="G52" s="14"/>
    </row>
    <row r="53" spans="1:7" x14ac:dyDescent="0.2">
      <c r="A53" s="240"/>
      <c r="B53" s="6" t="s">
        <v>107</v>
      </c>
      <c r="C53" s="12"/>
      <c r="D53" s="13"/>
      <c r="E53" s="13"/>
      <c r="F53" s="13"/>
      <c r="G53" s="14"/>
    </row>
    <row r="54" spans="1:7" x14ac:dyDescent="0.2">
      <c r="A54" s="240"/>
      <c r="B54" s="6" t="s">
        <v>109</v>
      </c>
      <c r="C54" s="12"/>
      <c r="D54" s="13"/>
      <c r="E54" s="13"/>
      <c r="F54" s="13"/>
      <c r="G54" s="14"/>
    </row>
    <row r="55" spans="1:7" x14ac:dyDescent="0.2">
      <c r="A55" s="240"/>
      <c r="B55" s="6" t="s">
        <v>111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40"/>
      <c r="B56" s="6" t="s">
        <v>113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40"/>
      <c r="B57" s="6" t="s">
        <v>114</v>
      </c>
      <c r="C57" s="12">
        <v>38896</v>
      </c>
      <c r="D57" s="42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40"/>
      <c r="B58" s="6" t="s">
        <v>115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40"/>
      <c r="B59" s="6" t="s">
        <v>116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40"/>
      <c r="B60" s="6" t="s">
        <v>117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40"/>
      <c r="B61" s="6" t="s">
        <v>118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40"/>
      <c r="B62" s="6" t="s">
        <v>119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40"/>
      <c r="B63" s="6" t="s">
        <v>120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40" t="s">
        <v>135</v>
      </c>
      <c r="B64" s="6" t="s">
        <v>106</v>
      </c>
      <c r="C64" s="12"/>
      <c r="D64" s="13"/>
      <c r="E64" s="13"/>
      <c r="F64" s="13"/>
      <c r="G64" s="14"/>
    </row>
    <row r="65" spans="1:7" x14ac:dyDescent="0.2">
      <c r="A65" s="240"/>
      <c r="B65" s="6" t="s">
        <v>107</v>
      </c>
      <c r="C65" s="12"/>
      <c r="D65" s="13"/>
      <c r="E65" s="13"/>
      <c r="F65" s="13"/>
      <c r="G65" s="14"/>
    </row>
    <row r="66" spans="1:7" x14ac:dyDescent="0.2">
      <c r="A66" s="240"/>
      <c r="B66" s="6" t="s">
        <v>109</v>
      </c>
      <c r="C66" s="12"/>
      <c r="D66" s="13"/>
      <c r="E66" s="13"/>
      <c r="F66" s="13"/>
      <c r="G66" s="14"/>
    </row>
    <row r="67" spans="1:7" x14ac:dyDescent="0.2">
      <c r="A67" s="240"/>
      <c r="B67" s="6" t="s">
        <v>111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40"/>
      <c r="B68" s="6" t="s">
        <v>113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40"/>
      <c r="B69" s="6" t="s">
        <v>114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40"/>
      <c r="B70" s="6" t="s">
        <v>115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40"/>
      <c r="B71" s="6" t="s">
        <v>116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40"/>
      <c r="B72" s="6" t="s">
        <v>117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40"/>
      <c r="B73" s="6" t="s">
        <v>118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40"/>
      <c r="B74" s="6" t="s">
        <v>119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40"/>
      <c r="B75" s="6" t="s">
        <v>120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40" t="s">
        <v>136</v>
      </c>
      <c r="B76" s="6" t="s">
        <v>106</v>
      </c>
      <c r="C76" s="12"/>
      <c r="D76" s="13"/>
      <c r="E76" s="13"/>
      <c r="F76" s="13"/>
      <c r="G76" s="14"/>
    </row>
    <row r="77" spans="1:7" x14ac:dyDescent="0.2">
      <c r="A77" s="240"/>
      <c r="B77" s="6" t="s">
        <v>107</v>
      </c>
      <c r="C77" s="12"/>
      <c r="D77" s="13"/>
      <c r="E77" s="13"/>
      <c r="F77" s="13"/>
      <c r="G77" s="14"/>
    </row>
    <row r="78" spans="1:7" x14ac:dyDescent="0.2">
      <c r="A78" s="240"/>
      <c r="B78" s="6" t="s">
        <v>109</v>
      </c>
      <c r="C78" s="12"/>
      <c r="D78" s="13"/>
      <c r="E78" s="13"/>
      <c r="F78" s="13"/>
      <c r="G78" s="14"/>
    </row>
    <row r="79" spans="1:7" x14ac:dyDescent="0.2">
      <c r="A79" s="240"/>
      <c r="B79" s="6" t="s">
        <v>111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40"/>
      <c r="B80" s="6" t="s">
        <v>113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40"/>
      <c r="B81" s="6" t="s">
        <v>114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40"/>
      <c r="B82" s="6" t="s">
        <v>115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40"/>
      <c r="B83" s="6" t="s">
        <v>116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40"/>
      <c r="B84" s="6" t="s">
        <v>117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40"/>
      <c r="B85" s="6" t="s">
        <v>118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40"/>
      <c r="B86" s="6" t="s">
        <v>119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40"/>
      <c r="B87" s="6" t="s">
        <v>120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40" t="s">
        <v>137</v>
      </c>
      <c r="B88" s="6" t="s">
        <v>106</v>
      </c>
      <c r="C88" s="12"/>
      <c r="D88" s="13"/>
      <c r="E88" s="13"/>
      <c r="F88" s="13"/>
      <c r="G88" s="14"/>
    </row>
    <row r="89" spans="1:7" x14ac:dyDescent="0.2">
      <c r="A89" s="240"/>
      <c r="B89" s="6" t="s">
        <v>107</v>
      </c>
      <c r="C89" s="12"/>
      <c r="D89" s="13"/>
      <c r="E89" s="13"/>
      <c r="F89" s="13"/>
      <c r="G89" s="14"/>
    </row>
    <row r="90" spans="1:7" x14ac:dyDescent="0.2">
      <c r="A90" s="240"/>
      <c r="B90" s="6" t="s">
        <v>109</v>
      </c>
      <c r="C90" s="12"/>
      <c r="D90" s="4"/>
      <c r="E90" s="4"/>
      <c r="F90" s="4"/>
      <c r="G90" s="14"/>
    </row>
    <row r="91" spans="1:7" x14ac:dyDescent="0.2">
      <c r="A91" s="240"/>
      <c r="B91" s="6" t="s">
        <v>111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40"/>
      <c r="B92" s="6" t="s">
        <v>113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40"/>
      <c r="B93" s="6" t="s">
        <v>114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40"/>
      <c r="B94" s="6" t="s">
        <v>115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40"/>
      <c r="B95" s="6" t="s">
        <v>116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40"/>
      <c r="B96" s="6" t="s">
        <v>117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40"/>
      <c r="B97" s="6" t="s">
        <v>118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40"/>
      <c r="B98" s="6" t="s">
        <v>119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40"/>
      <c r="B99" s="6" t="s">
        <v>120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40" t="s">
        <v>138</v>
      </c>
      <c r="B100" s="6" t="s">
        <v>106</v>
      </c>
      <c r="C100" s="12"/>
      <c r="D100" s="13"/>
      <c r="E100" s="13"/>
      <c r="F100" s="13"/>
      <c r="G100" s="14"/>
    </row>
    <row r="101" spans="1:7" x14ac:dyDescent="0.2">
      <c r="A101" s="240"/>
      <c r="B101" s="6" t="s">
        <v>107</v>
      </c>
      <c r="C101" s="12"/>
      <c r="D101" s="13"/>
      <c r="E101" s="13"/>
      <c r="F101" s="13"/>
      <c r="G101" s="14"/>
    </row>
    <row r="102" spans="1:7" x14ac:dyDescent="0.2">
      <c r="A102" s="240"/>
      <c r="B102" s="6" t="s">
        <v>109</v>
      </c>
      <c r="C102" s="12"/>
      <c r="D102" s="13">
        <v>112633</v>
      </c>
      <c r="E102" s="13"/>
      <c r="F102" s="13"/>
      <c r="G102" s="14"/>
    </row>
    <row r="103" spans="1:7" x14ac:dyDescent="0.2">
      <c r="A103" s="240"/>
      <c r="B103" s="6" t="s">
        <v>111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40"/>
      <c r="B104" s="6" t="s">
        <v>113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40"/>
      <c r="B105" s="6" t="s">
        <v>114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40"/>
      <c r="B106" s="6" t="s">
        <v>115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40"/>
      <c r="B107" s="6" t="s">
        <v>116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40"/>
      <c r="B108" s="6" t="s">
        <v>117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40"/>
      <c r="B109" s="6" t="s">
        <v>118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40"/>
      <c r="B110" s="6" t="s">
        <v>119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40"/>
      <c r="B111" s="6" t="s">
        <v>120</v>
      </c>
      <c r="C111" s="12">
        <v>38725</v>
      </c>
      <c r="D111" s="59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40" t="s">
        <v>139</v>
      </c>
      <c r="B112" s="6" t="s">
        <v>106</v>
      </c>
      <c r="C112" s="12"/>
      <c r="D112" s="13"/>
      <c r="E112" s="13"/>
      <c r="F112" s="13"/>
      <c r="G112" s="14"/>
    </row>
    <row r="113" spans="1:7" x14ac:dyDescent="0.2">
      <c r="A113" s="240"/>
      <c r="B113" s="6" t="s">
        <v>107</v>
      </c>
      <c r="C113" s="12"/>
      <c r="D113" s="13"/>
      <c r="E113" s="13"/>
      <c r="F113" s="13"/>
      <c r="G113" s="14"/>
    </row>
    <row r="114" spans="1:7" x14ac:dyDescent="0.2">
      <c r="A114" s="240"/>
      <c r="B114" s="6" t="s">
        <v>109</v>
      </c>
      <c r="C114" s="12"/>
      <c r="D114" s="13"/>
      <c r="E114" s="13"/>
      <c r="F114" s="13"/>
      <c r="G114" s="14"/>
    </row>
    <row r="115" spans="1:7" x14ac:dyDescent="0.2">
      <c r="A115" s="240"/>
      <c r="B115" s="6" t="s">
        <v>111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40"/>
      <c r="B116" s="6" t="s">
        <v>113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40"/>
      <c r="B117" s="6" t="s">
        <v>114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40"/>
      <c r="B118" s="6" t="s">
        <v>115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40"/>
      <c r="B119" s="6" t="s">
        <v>116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40"/>
      <c r="B120" s="6" t="s">
        <v>117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40"/>
      <c r="B121" s="6" t="s">
        <v>118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40"/>
      <c r="B122" s="6" t="s">
        <v>119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40"/>
      <c r="B123" s="6" t="s">
        <v>120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40" t="s">
        <v>140</v>
      </c>
      <c r="B124" s="6" t="s">
        <v>106</v>
      </c>
      <c r="C124" s="12"/>
      <c r="D124" s="13"/>
      <c r="E124" s="13"/>
      <c r="F124" s="13"/>
      <c r="G124" s="14"/>
    </row>
    <row r="125" spans="1:7" x14ac:dyDescent="0.2">
      <c r="A125" s="240"/>
      <c r="B125" s="6" t="s">
        <v>107</v>
      </c>
      <c r="C125" s="12"/>
      <c r="D125" s="13"/>
      <c r="E125" s="13"/>
      <c r="F125" s="13"/>
      <c r="G125" s="14"/>
    </row>
    <row r="126" spans="1:7" x14ac:dyDescent="0.2">
      <c r="A126" s="240"/>
      <c r="B126" s="6" t="s">
        <v>109</v>
      </c>
      <c r="C126" s="12"/>
      <c r="D126" s="13"/>
      <c r="E126" s="13"/>
      <c r="F126" s="13"/>
      <c r="G126" s="14"/>
    </row>
    <row r="127" spans="1:7" x14ac:dyDescent="0.2">
      <c r="A127" s="240"/>
      <c r="B127" s="6" t="s">
        <v>111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40"/>
      <c r="B128" s="6" t="s">
        <v>113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40"/>
      <c r="B129" s="6" t="s">
        <v>114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  <c r="H129" s="146"/>
    </row>
    <row r="130" spans="1:8" x14ac:dyDescent="0.2">
      <c r="A130" s="240"/>
      <c r="B130" s="6" t="s">
        <v>115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  <c r="H130" s="146"/>
    </row>
    <row r="131" spans="1:8" x14ac:dyDescent="0.2">
      <c r="A131" s="240"/>
      <c r="B131" s="6" t="s">
        <v>116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  <c r="H131" s="146"/>
    </row>
    <row r="132" spans="1:8" x14ac:dyDescent="0.2">
      <c r="A132" s="240"/>
      <c r="B132" s="6" t="s">
        <v>117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  <c r="H132" s="146"/>
    </row>
    <row r="133" spans="1:8" x14ac:dyDescent="0.2">
      <c r="A133" s="240"/>
      <c r="B133" s="6" t="s">
        <v>118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  <c r="H133" s="146"/>
    </row>
    <row r="134" spans="1:8" x14ac:dyDescent="0.2">
      <c r="A134" s="240"/>
      <c r="B134" s="6" t="s">
        <v>119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  <c r="H134" s="146"/>
    </row>
    <row r="135" spans="1:8" x14ac:dyDescent="0.2">
      <c r="A135" s="240"/>
      <c r="B135" s="6" t="s">
        <v>120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  <c r="H135" s="146"/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18</v>
      </c>
      <c r="B137" s="44"/>
      <c r="C137" s="5"/>
      <c r="D137" s="5"/>
      <c r="E137" s="5"/>
      <c r="F137" s="5"/>
      <c r="G137" s="16"/>
      <c r="H137" s="146"/>
    </row>
    <row r="138" spans="1:8" x14ac:dyDescent="0.2">
      <c r="A138" s="8" t="s">
        <v>62</v>
      </c>
      <c r="B138" s="44"/>
      <c r="C138" s="5"/>
      <c r="D138" s="5"/>
      <c r="E138" s="5"/>
      <c r="F138" s="5"/>
      <c r="G138" s="5"/>
      <c r="H138" s="146"/>
    </row>
    <row r="139" spans="1:8" x14ac:dyDescent="0.2">
      <c r="A139" s="45" t="s">
        <v>63</v>
      </c>
      <c r="B139" s="44"/>
      <c r="C139" s="5"/>
      <c r="D139" s="5"/>
      <c r="E139" s="5"/>
      <c r="F139" s="5"/>
      <c r="G139" s="5"/>
      <c r="H139" s="146"/>
    </row>
    <row r="140" spans="1:8" x14ac:dyDescent="0.2">
      <c r="A140" s="45" t="s">
        <v>23</v>
      </c>
      <c r="B140" s="44"/>
      <c r="C140" s="5"/>
      <c r="D140" s="5"/>
      <c r="E140" s="5"/>
      <c r="F140" s="5"/>
      <c r="G140" s="5"/>
      <c r="H140" s="146"/>
    </row>
    <row r="141" spans="1:8" x14ac:dyDescent="0.2">
      <c r="A141" s="45" t="s">
        <v>24</v>
      </c>
      <c r="B141" s="44"/>
      <c r="C141" s="5"/>
      <c r="D141" s="5"/>
      <c r="E141" s="5"/>
      <c r="F141" s="5"/>
      <c r="G141" s="5"/>
      <c r="H141" s="146"/>
    </row>
    <row r="142" spans="1:8" x14ac:dyDescent="0.2">
      <c r="A142" s="45"/>
      <c r="B142" s="44"/>
      <c r="C142" s="5"/>
      <c r="D142" s="5"/>
      <c r="E142" s="5"/>
      <c r="F142" s="5"/>
      <c r="G142" s="5"/>
      <c r="H142" s="146"/>
    </row>
    <row r="143" spans="1:8" x14ac:dyDescent="0.2">
      <c r="A143" s="45"/>
      <c r="B143" s="44"/>
      <c r="C143" s="5"/>
      <c r="D143" s="5"/>
      <c r="E143" s="5"/>
      <c r="F143" s="5"/>
      <c r="G143" s="5"/>
      <c r="H143" s="146"/>
    </row>
    <row r="144" spans="1:8" x14ac:dyDescent="0.2">
      <c r="A144" s="45"/>
      <c r="B144" s="44"/>
      <c r="H144" s="146"/>
    </row>
    <row r="145" spans="1:2" x14ac:dyDescent="0.2">
      <c r="A145" s="45"/>
      <c r="B145" s="44"/>
    </row>
    <row r="146" spans="1:2" x14ac:dyDescent="0.2">
      <c r="A146" s="45"/>
      <c r="B146" s="44"/>
    </row>
    <row r="147" spans="1:2" x14ac:dyDescent="0.2">
      <c r="A147" s="45"/>
      <c r="B147" s="44"/>
    </row>
    <row r="148" spans="1:2" x14ac:dyDescent="0.2">
      <c r="A148" s="45"/>
      <c r="B148" s="44"/>
    </row>
    <row r="149" spans="1:2" x14ac:dyDescent="0.2">
      <c r="A149" s="45"/>
      <c r="B149" s="44"/>
    </row>
    <row r="150" spans="1:2" x14ac:dyDescent="0.2">
      <c r="A150" s="45"/>
      <c r="B150" s="44"/>
    </row>
    <row r="151" spans="1:2" x14ac:dyDescent="0.2">
      <c r="A151" s="45"/>
      <c r="B151" s="44"/>
    </row>
    <row r="152" spans="1:2" x14ac:dyDescent="0.2">
      <c r="A152" s="45"/>
      <c r="B152" s="44"/>
    </row>
    <row r="153" spans="1:2" x14ac:dyDescent="0.2">
      <c r="A153" s="45"/>
      <c r="B153" s="44"/>
    </row>
    <row r="154" spans="1:2" x14ac:dyDescent="0.2">
      <c r="A154" s="45"/>
      <c r="B154" s="44"/>
    </row>
    <row r="155" spans="1:2" x14ac:dyDescent="0.2">
      <c r="A155" s="45"/>
      <c r="B155" s="44"/>
    </row>
    <row r="156" spans="1:2" x14ac:dyDescent="0.2">
      <c r="A156" s="45"/>
      <c r="B156" s="44"/>
    </row>
    <row r="157" spans="1:2" x14ac:dyDescent="0.2">
      <c r="A157" s="45"/>
      <c r="B157" s="44"/>
    </row>
    <row r="158" spans="1:2" x14ac:dyDescent="0.2">
      <c r="A158" s="45"/>
      <c r="B158" s="44"/>
    </row>
    <row r="159" spans="1:2" x14ac:dyDescent="0.2">
      <c r="A159" s="45"/>
      <c r="B159" s="44"/>
    </row>
    <row r="160" spans="1:2" x14ac:dyDescent="0.2">
      <c r="A160" s="45"/>
      <c r="B160" s="44"/>
    </row>
    <row r="161" spans="1:2" x14ac:dyDescent="0.2">
      <c r="A161" s="45"/>
      <c r="B161" s="44"/>
    </row>
    <row r="162" spans="1:2" x14ac:dyDescent="0.2">
      <c r="A162" s="45"/>
      <c r="B162" s="44"/>
    </row>
    <row r="163" spans="1:2" x14ac:dyDescent="0.2">
      <c r="A163" s="45"/>
      <c r="B163" s="44"/>
    </row>
    <row r="164" spans="1:2" x14ac:dyDescent="0.2">
      <c r="A164" s="45"/>
      <c r="B164" s="44"/>
    </row>
    <row r="165" spans="1:2" x14ac:dyDescent="0.2">
      <c r="A165" s="45"/>
      <c r="B165" s="44"/>
    </row>
    <row r="166" spans="1:2" x14ac:dyDescent="0.2">
      <c r="A166" s="45"/>
      <c r="B166" s="44"/>
    </row>
    <row r="167" spans="1:2" x14ac:dyDescent="0.2">
      <c r="A167" s="45"/>
      <c r="B167" s="44"/>
    </row>
    <row r="168" spans="1:2" x14ac:dyDescent="0.2">
      <c r="A168" s="45"/>
      <c r="B168" s="44"/>
    </row>
    <row r="169" spans="1:2" x14ac:dyDescent="0.2">
      <c r="A169" s="45"/>
      <c r="B169" s="44"/>
    </row>
    <row r="170" spans="1:2" x14ac:dyDescent="0.2">
      <c r="A170" s="45"/>
      <c r="B170" s="44"/>
    </row>
    <row r="171" spans="1:2" x14ac:dyDescent="0.2">
      <c r="A171" s="45"/>
      <c r="B171" s="44"/>
    </row>
    <row r="172" spans="1:2" x14ac:dyDescent="0.2">
      <c r="A172" s="45"/>
      <c r="B172" s="44"/>
    </row>
    <row r="173" spans="1:2" x14ac:dyDescent="0.2">
      <c r="A173" s="45"/>
      <c r="B173" s="44"/>
    </row>
    <row r="174" spans="1:2" x14ac:dyDescent="0.2">
      <c r="A174" s="45"/>
      <c r="B174" s="44"/>
    </row>
    <row r="175" spans="1:2" x14ac:dyDescent="0.2">
      <c r="A175" s="45"/>
      <c r="B175" s="44"/>
    </row>
    <row r="176" spans="1:2" x14ac:dyDescent="0.2">
      <c r="A176" s="45"/>
      <c r="B176" s="44"/>
    </row>
    <row r="177" spans="1:2" x14ac:dyDescent="0.2">
      <c r="A177" s="45"/>
      <c r="B177" s="44"/>
    </row>
    <row r="178" spans="1:2" x14ac:dyDescent="0.2">
      <c r="A178" s="45"/>
      <c r="B178" s="44"/>
    </row>
    <row r="179" spans="1:2" x14ac:dyDescent="0.2">
      <c r="A179" s="45"/>
      <c r="B179" s="44"/>
    </row>
    <row r="180" spans="1:2" x14ac:dyDescent="0.2">
      <c r="A180" s="45"/>
      <c r="B180" s="44"/>
    </row>
    <row r="181" spans="1:2" x14ac:dyDescent="0.2">
      <c r="A181" s="45"/>
      <c r="B181" s="44"/>
    </row>
    <row r="182" spans="1:2" x14ac:dyDescent="0.2">
      <c r="A182" s="45"/>
      <c r="B182" s="44"/>
    </row>
    <row r="183" spans="1:2" x14ac:dyDescent="0.2">
      <c r="A183" s="45"/>
      <c r="B183" s="44"/>
    </row>
    <row r="184" spans="1:2" x14ac:dyDescent="0.2">
      <c r="A184" s="45"/>
      <c r="B184" s="44"/>
    </row>
    <row r="185" spans="1:2" x14ac:dyDescent="0.2">
      <c r="A185" s="45"/>
      <c r="B185" s="44"/>
    </row>
    <row r="186" spans="1:2" x14ac:dyDescent="0.2">
      <c r="A186" s="45"/>
      <c r="B186" s="44"/>
    </row>
    <row r="187" spans="1:2" x14ac:dyDescent="0.2">
      <c r="A187" s="45"/>
      <c r="B187" s="44"/>
    </row>
    <row r="188" spans="1:2" x14ac:dyDescent="0.2">
      <c r="A188" s="45"/>
      <c r="B188" s="44"/>
    </row>
    <row r="189" spans="1:2" x14ac:dyDescent="0.2">
      <c r="A189" s="45"/>
      <c r="B189" s="44"/>
    </row>
    <row r="190" spans="1:2" x14ac:dyDescent="0.2">
      <c r="A190" s="45"/>
      <c r="B190" s="44"/>
    </row>
    <row r="191" spans="1:2" x14ac:dyDescent="0.2">
      <c r="A191" s="45"/>
      <c r="B191" s="44"/>
    </row>
    <row r="192" spans="1:2" x14ac:dyDescent="0.2">
      <c r="A192" s="45"/>
      <c r="B192" s="44"/>
    </row>
    <row r="193" spans="1:2" x14ac:dyDescent="0.2">
      <c r="A193" s="45"/>
      <c r="B193" s="44"/>
    </row>
    <row r="194" spans="1:2" x14ac:dyDescent="0.2">
      <c r="A194" s="45"/>
      <c r="B194" s="44"/>
    </row>
    <row r="195" spans="1:2" x14ac:dyDescent="0.2">
      <c r="A195" s="45"/>
      <c r="B195" s="44"/>
    </row>
    <row r="196" spans="1:2" x14ac:dyDescent="0.2">
      <c r="A196" s="45"/>
      <c r="B196" s="44"/>
    </row>
    <row r="197" spans="1:2" x14ac:dyDescent="0.2">
      <c r="A197" s="45"/>
      <c r="B197" s="44"/>
    </row>
    <row r="198" spans="1:2" x14ac:dyDescent="0.2">
      <c r="A198" s="45"/>
      <c r="B198" s="44"/>
    </row>
    <row r="199" spans="1:2" x14ac:dyDescent="0.2">
      <c r="A199" s="45"/>
      <c r="B199" s="44"/>
    </row>
    <row r="200" spans="1:2" x14ac:dyDescent="0.2">
      <c r="A200" s="45"/>
      <c r="B200" s="44"/>
    </row>
    <row r="201" spans="1:2" x14ac:dyDescent="0.2">
      <c r="A201" s="45"/>
      <c r="B201" s="44"/>
    </row>
    <row r="202" spans="1:2" x14ac:dyDescent="0.2">
      <c r="A202" s="45"/>
      <c r="B202" s="44"/>
    </row>
    <row r="203" spans="1:2" x14ac:dyDescent="0.2">
      <c r="A203" s="45"/>
      <c r="B203" s="44"/>
    </row>
    <row r="204" spans="1:2" x14ac:dyDescent="0.2">
      <c r="A204" s="45"/>
      <c r="B204" s="44"/>
    </row>
    <row r="205" spans="1:2" x14ac:dyDescent="0.2">
      <c r="A205" s="45"/>
      <c r="B205" s="44"/>
    </row>
    <row r="206" spans="1:2" x14ac:dyDescent="0.2">
      <c r="A206" s="45"/>
      <c r="B206" s="44"/>
    </row>
    <row r="207" spans="1:2" x14ac:dyDescent="0.2">
      <c r="A207" s="45"/>
      <c r="B207" s="44"/>
    </row>
    <row r="208" spans="1:2" x14ac:dyDescent="0.2">
      <c r="A208" s="45"/>
      <c r="B208" s="44"/>
    </row>
    <row r="209" spans="1:2" x14ac:dyDescent="0.2">
      <c r="A209" s="45"/>
      <c r="B209" s="44"/>
    </row>
    <row r="210" spans="1:2" x14ac:dyDescent="0.2">
      <c r="A210" s="45"/>
      <c r="B210" s="44"/>
    </row>
    <row r="211" spans="1:2" x14ac:dyDescent="0.2">
      <c r="A211" s="45"/>
      <c r="B211" s="44"/>
    </row>
    <row r="212" spans="1:2" x14ac:dyDescent="0.2">
      <c r="A212" s="45"/>
      <c r="B212" s="44"/>
    </row>
    <row r="213" spans="1:2" x14ac:dyDescent="0.2">
      <c r="A213" s="45"/>
      <c r="B213" s="44"/>
    </row>
    <row r="214" spans="1:2" x14ac:dyDescent="0.2">
      <c r="A214" s="45"/>
      <c r="B214" s="44"/>
    </row>
    <row r="215" spans="1:2" x14ac:dyDescent="0.2">
      <c r="A215" s="45"/>
      <c r="B215" s="44"/>
    </row>
    <row r="216" spans="1:2" x14ac:dyDescent="0.2">
      <c r="A216" s="45"/>
      <c r="B216" s="44"/>
    </row>
    <row r="217" spans="1:2" x14ac:dyDescent="0.2">
      <c r="A217" s="45"/>
      <c r="B217" s="44"/>
    </row>
    <row r="218" spans="1:2" x14ac:dyDescent="0.2">
      <c r="A218" s="45"/>
      <c r="B218" s="44"/>
    </row>
    <row r="219" spans="1:2" x14ac:dyDescent="0.2">
      <c r="A219" s="45"/>
      <c r="B219" s="44"/>
    </row>
    <row r="220" spans="1:2" x14ac:dyDescent="0.2">
      <c r="A220" s="45"/>
      <c r="B220" s="44"/>
    </row>
    <row r="221" spans="1:2" x14ac:dyDescent="0.2">
      <c r="A221" s="45"/>
      <c r="B221" s="44"/>
    </row>
    <row r="222" spans="1:2" x14ac:dyDescent="0.2">
      <c r="A222" s="45"/>
      <c r="B222" s="44"/>
    </row>
    <row r="223" spans="1:2" x14ac:dyDescent="0.2">
      <c r="A223" s="45"/>
      <c r="B223" s="44"/>
    </row>
    <row r="224" spans="1:2" x14ac:dyDescent="0.2">
      <c r="A224" s="45"/>
      <c r="B224" s="44"/>
    </row>
    <row r="225" spans="1:2" x14ac:dyDescent="0.2">
      <c r="A225" s="45"/>
      <c r="B225" s="44"/>
    </row>
    <row r="226" spans="1:2" x14ac:dyDescent="0.2">
      <c r="A226" s="45"/>
      <c r="B226" s="44"/>
    </row>
    <row r="227" spans="1:2" x14ac:dyDescent="0.2">
      <c r="A227" s="45"/>
      <c r="B227" s="44"/>
    </row>
    <row r="228" spans="1:2" x14ac:dyDescent="0.2">
      <c r="A228" s="45"/>
      <c r="B228" s="44"/>
    </row>
    <row r="229" spans="1:2" x14ac:dyDescent="0.2">
      <c r="A229" s="45"/>
      <c r="B229" s="44"/>
    </row>
    <row r="230" spans="1:2" x14ac:dyDescent="0.2">
      <c r="A230" s="45"/>
      <c r="B230" s="44"/>
    </row>
    <row r="231" spans="1:2" x14ac:dyDescent="0.2">
      <c r="A231" s="45"/>
      <c r="B231" s="44"/>
    </row>
    <row r="232" spans="1:2" x14ac:dyDescent="0.2">
      <c r="A232" s="45"/>
      <c r="B232" s="44"/>
    </row>
    <row r="233" spans="1:2" x14ac:dyDescent="0.2">
      <c r="A233" s="45"/>
      <c r="B233" s="44"/>
    </row>
    <row r="234" spans="1:2" x14ac:dyDescent="0.2">
      <c r="A234" s="45"/>
      <c r="B234" s="44"/>
    </row>
    <row r="235" spans="1:2" x14ac:dyDescent="0.2">
      <c r="A235" s="45"/>
      <c r="B235" s="44"/>
    </row>
    <row r="236" spans="1:2" x14ac:dyDescent="0.2">
      <c r="A236" s="45"/>
      <c r="B236" s="44"/>
    </row>
    <row r="237" spans="1:2" x14ac:dyDescent="0.2">
      <c r="A237" s="45"/>
      <c r="B237" s="44"/>
    </row>
    <row r="238" spans="1:2" x14ac:dyDescent="0.2">
      <c r="A238" s="45"/>
      <c r="B238" s="44"/>
    </row>
    <row r="239" spans="1:2" x14ac:dyDescent="0.2">
      <c r="A239" s="45"/>
      <c r="B239" s="44"/>
    </row>
    <row r="240" spans="1:2" x14ac:dyDescent="0.2">
      <c r="A240" s="45"/>
      <c r="B240" s="44"/>
    </row>
    <row r="241" spans="1:2" x14ac:dyDescent="0.2">
      <c r="A241" s="45"/>
      <c r="B241" s="44"/>
    </row>
    <row r="242" spans="1:2" x14ac:dyDescent="0.2">
      <c r="A242" s="45"/>
      <c r="B242" s="44"/>
    </row>
    <row r="243" spans="1:2" x14ac:dyDescent="0.2">
      <c r="A243" s="45"/>
      <c r="B243" s="44"/>
    </row>
    <row r="244" spans="1:2" x14ac:dyDescent="0.2">
      <c r="A244" s="45"/>
      <c r="B244" s="44"/>
    </row>
    <row r="245" spans="1:2" x14ac:dyDescent="0.2">
      <c r="A245" s="45"/>
      <c r="B245" s="44"/>
    </row>
    <row r="246" spans="1:2" x14ac:dyDescent="0.2">
      <c r="A246" s="45"/>
      <c r="B246" s="44"/>
    </row>
    <row r="247" spans="1:2" x14ac:dyDescent="0.2">
      <c r="A247" s="45"/>
      <c r="B247" s="44"/>
    </row>
    <row r="248" spans="1:2" x14ac:dyDescent="0.2">
      <c r="A248" s="45"/>
      <c r="B248" s="44"/>
    </row>
    <row r="249" spans="1:2" x14ac:dyDescent="0.2">
      <c r="A249" s="45"/>
      <c r="B249" s="44"/>
    </row>
    <row r="250" spans="1:2" x14ac:dyDescent="0.2">
      <c r="A250" s="45"/>
      <c r="B250" s="44"/>
    </row>
    <row r="251" spans="1:2" x14ac:dyDescent="0.2">
      <c r="A251" s="45"/>
      <c r="B251" s="44"/>
    </row>
    <row r="252" spans="1:2" x14ac:dyDescent="0.2">
      <c r="A252" s="45"/>
      <c r="B252" s="44"/>
    </row>
    <row r="253" spans="1:2" x14ac:dyDescent="0.2">
      <c r="A253" s="45"/>
      <c r="B253" s="44"/>
    </row>
    <row r="254" spans="1:2" x14ac:dyDescent="0.2">
      <c r="A254" s="45"/>
      <c r="B254" s="44"/>
    </row>
    <row r="255" spans="1:2" x14ac:dyDescent="0.2">
      <c r="A255" s="45"/>
      <c r="B255" s="44"/>
    </row>
    <row r="256" spans="1:2" x14ac:dyDescent="0.2">
      <c r="A256" s="45"/>
      <c r="B256" s="44"/>
    </row>
    <row r="257" spans="1:2" x14ac:dyDescent="0.2">
      <c r="A257" s="45"/>
      <c r="B257" s="44"/>
    </row>
    <row r="258" spans="1:2" x14ac:dyDescent="0.2">
      <c r="A258" s="45"/>
      <c r="B258" s="44"/>
    </row>
    <row r="259" spans="1:2" x14ac:dyDescent="0.2">
      <c r="A259" s="45"/>
      <c r="B259" s="44"/>
    </row>
    <row r="260" spans="1:2" x14ac:dyDescent="0.2">
      <c r="A260" s="45"/>
      <c r="B260" s="44"/>
    </row>
    <row r="261" spans="1:2" x14ac:dyDescent="0.2">
      <c r="A261" s="45"/>
      <c r="B261" s="44"/>
    </row>
    <row r="262" spans="1:2" x14ac:dyDescent="0.2">
      <c r="A262" s="45"/>
      <c r="B262" s="44"/>
    </row>
    <row r="263" spans="1:2" x14ac:dyDescent="0.2">
      <c r="A263" s="45"/>
      <c r="B263" s="44"/>
    </row>
    <row r="264" spans="1:2" x14ac:dyDescent="0.2">
      <c r="A264" s="45"/>
      <c r="B264" s="44"/>
    </row>
    <row r="265" spans="1:2" x14ac:dyDescent="0.2">
      <c r="A265" s="45"/>
      <c r="B265" s="44"/>
    </row>
    <row r="266" spans="1:2" x14ac:dyDescent="0.2">
      <c r="A266" s="45"/>
      <c r="B266" s="44"/>
    </row>
    <row r="267" spans="1:2" x14ac:dyDescent="0.2">
      <c r="A267" s="45"/>
      <c r="B267" s="44"/>
    </row>
    <row r="268" spans="1:2" x14ac:dyDescent="0.2">
      <c r="A268" s="45"/>
      <c r="B268" s="44"/>
    </row>
    <row r="269" spans="1:2" x14ac:dyDescent="0.2">
      <c r="A269" s="45"/>
      <c r="B269" s="44"/>
    </row>
    <row r="270" spans="1:2" x14ac:dyDescent="0.2">
      <c r="A270" s="45"/>
      <c r="B270" s="44"/>
    </row>
    <row r="271" spans="1:2" x14ac:dyDescent="0.2">
      <c r="A271" s="45"/>
      <c r="B271" s="44"/>
    </row>
    <row r="272" spans="1:2" x14ac:dyDescent="0.2">
      <c r="A272" s="45"/>
      <c r="B272" s="44"/>
    </row>
    <row r="273" spans="1:2" x14ac:dyDescent="0.2">
      <c r="A273" s="45"/>
      <c r="B273" s="44"/>
    </row>
    <row r="274" spans="1:2" x14ac:dyDescent="0.2">
      <c r="A274" s="45"/>
      <c r="B274" s="44"/>
    </row>
    <row r="275" spans="1:2" x14ac:dyDescent="0.2">
      <c r="A275" s="45"/>
      <c r="B275" s="44"/>
    </row>
    <row r="276" spans="1:2" x14ac:dyDescent="0.2">
      <c r="A276" s="45"/>
      <c r="B276" s="44"/>
    </row>
    <row r="277" spans="1:2" x14ac:dyDescent="0.2">
      <c r="A277" s="45"/>
      <c r="B277" s="44"/>
    </row>
    <row r="278" spans="1:2" x14ac:dyDescent="0.2">
      <c r="A278" s="45"/>
      <c r="B278" s="44"/>
    </row>
    <row r="279" spans="1:2" x14ac:dyDescent="0.2">
      <c r="A279" s="45"/>
      <c r="B279" s="44"/>
    </row>
    <row r="280" spans="1:2" x14ac:dyDescent="0.2">
      <c r="A280" s="45"/>
      <c r="B280" s="44"/>
    </row>
    <row r="281" spans="1:2" x14ac:dyDescent="0.2">
      <c r="A281" s="45"/>
      <c r="B281" s="44"/>
    </row>
    <row r="282" spans="1:2" x14ac:dyDescent="0.2">
      <c r="A282" s="45"/>
      <c r="B282" s="44"/>
    </row>
    <row r="283" spans="1:2" x14ac:dyDescent="0.2">
      <c r="A283" s="45"/>
      <c r="B283" s="44"/>
    </row>
    <row r="284" spans="1:2" x14ac:dyDescent="0.2">
      <c r="A284" s="45"/>
      <c r="B284" s="44"/>
    </row>
    <row r="285" spans="1:2" x14ac:dyDescent="0.2">
      <c r="A285" s="45"/>
      <c r="B285" s="44"/>
    </row>
    <row r="286" spans="1:2" x14ac:dyDescent="0.2">
      <c r="A286" s="45"/>
      <c r="B286" s="44"/>
    </row>
    <row r="287" spans="1:2" x14ac:dyDescent="0.2">
      <c r="A287" s="45"/>
      <c r="B287" s="44"/>
    </row>
    <row r="288" spans="1:2" x14ac:dyDescent="0.2">
      <c r="A288" s="45"/>
      <c r="B288" s="44"/>
    </row>
    <row r="289" spans="1:2" x14ac:dyDescent="0.2">
      <c r="A289" s="45"/>
      <c r="B289" s="44"/>
    </row>
    <row r="290" spans="1:2" x14ac:dyDescent="0.2">
      <c r="A290" s="45"/>
      <c r="B290" s="44"/>
    </row>
    <row r="291" spans="1:2" x14ac:dyDescent="0.2">
      <c r="A291" s="45"/>
      <c r="B291" s="44"/>
    </row>
    <row r="292" spans="1:2" x14ac:dyDescent="0.2">
      <c r="A292" s="45"/>
      <c r="B292" s="44"/>
    </row>
    <row r="293" spans="1:2" x14ac:dyDescent="0.2">
      <c r="A293" s="45"/>
      <c r="B293" s="44"/>
    </row>
    <row r="294" spans="1:2" x14ac:dyDescent="0.2">
      <c r="A294" s="45"/>
      <c r="B294" s="44"/>
    </row>
    <row r="295" spans="1:2" x14ac:dyDescent="0.2">
      <c r="A295" s="45"/>
      <c r="B295" s="44"/>
    </row>
    <row r="296" spans="1:2" x14ac:dyDescent="0.2">
      <c r="A296" s="45"/>
      <c r="B296" s="44"/>
    </row>
    <row r="297" spans="1:2" x14ac:dyDescent="0.2">
      <c r="A297" s="45"/>
      <c r="B297" s="44"/>
    </row>
    <row r="298" spans="1:2" x14ac:dyDescent="0.2">
      <c r="A298" s="45"/>
      <c r="B298" s="44"/>
    </row>
    <row r="299" spans="1:2" x14ac:dyDescent="0.2">
      <c r="A299" s="45"/>
      <c r="B299" s="44"/>
    </row>
    <row r="300" spans="1:2" x14ac:dyDescent="0.2">
      <c r="A300" s="45"/>
      <c r="B300" s="44"/>
    </row>
    <row r="301" spans="1:2" x14ac:dyDescent="0.2">
      <c r="A301" s="45"/>
      <c r="B301" s="44"/>
    </row>
    <row r="302" spans="1:2" x14ac:dyDescent="0.2">
      <c r="A302" s="45"/>
      <c r="B302" s="44"/>
    </row>
    <row r="303" spans="1:2" x14ac:dyDescent="0.2">
      <c r="A303" s="45"/>
      <c r="B303" s="44"/>
    </row>
    <row r="304" spans="1:2" x14ac:dyDescent="0.2">
      <c r="A304" s="45"/>
      <c r="B304" s="44"/>
    </row>
    <row r="305" spans="1:2" x14ac:dyDescent="0.2">
      <c r="A305" s="45"/>
      <c r="B305" s="44"/>
    </row>
    <row r="306" spans="1:2" x14ac:dyDescent="0.2">
      <c r="A306" s="45"/>
      <c r="B306" s="44"/>
    </row>
    <row r="307" spans="1:2" x14ac:dyDescent="0.2">
      <c r="A307" s="45"/>
      <c r="B307" s="44"/>
    </row>
    <row r="308" spans="1:2" x14ac:dyDescent="0.2">
      <c r="A308" s="45"/>
      <c r="B308" s="44"/>
    </row>
    <row r="309" spans="1:2" x14ac:dyDescent="0.2">
      <c r="A309" s="45"/>
      <c r="B309" s="44"/>
    </row>
    <row r="310" spans="1:2" x14ac:dyDescent="0.2">
      <c r="A310" s="45"/>
      <c r="B310" s="44"/>
    </row>
    <row r="311" spans="1:2" x14ac:dyDescent="0.2">
      <c r="A311" s="45"/>
      <c r="B311" s="44"/>
    </row>
    <row r="312" spans="1:2" x14ac:dyDescent="0.2">
      <c r="A312" s="45"/>
      <c r="B312" s="44"/>
    </row>
  </sheetData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honeticPr fontId="5" type="noConversion"/>
  <printOptions horizontalCentered="1"/>
  <pageMargins left="0.5" right="0.5" top="0.75" bottom="0.75" header="0.5" footer="0.5"/>
  <pageSetup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2"/>
  <sheetViews>
    <sheetView zoomScale="140" zoomScaleNormal="140" workbookViewId="0">
      <pane ySplit="5" topLeftCell="A6" activePane="bottomLeft" state="frozen"/>
      <selection activeCell="D26" activeCellId="1" sqref="I28 D26"/>
      <selection pane="bottomLeft" activeCell="S11" sqref="S11"/>
    </sheetView>
  </sheetViews>
  <sheetFormatPr defaultRowHeight="12.75" x14ac:dyDescent="0.2"/>
  <cols>
    <col min="1" max="1" width="16" style="49" customWidth="1"/>
    <col min="2" max="2" width="11.140625" style="49" customWidth="1"/>
    <col min="3" max="6" width="7.85546875" style="83" hidden="1" customWidth="1"/>
    <col min="7" max="9" width="6.5703125" style="83" hidden="1" customWidth="1"/>
    <col min="10" max="10" width="6.5703125" style="83" bestFit="1" customWidth="1"/>
    <col min="11" max="11" width="9.5703125" style="49" hidden="1" customWidth="1"/>
    <col min="12" max="12" width="9.7109375" style="83" hidden="1" customWidth="1"/>
    <col min="13" max="13" width="9.5703125" style="49" hidden="1" customWidth="1"/>
    <col min="14" max="14" width="7.85546875" style="49" hidden="1" customWidth="1"/>
    <col min="15" max="15" width="8.7109375" hidden="1" customWidth="1"/>
    <col min="16" max="16" width="6.5703125" hidden="1" customWidth="1"/>
    <col min="17" max="25" width="9.140625" customWidth="1"/>
    <col min="26" max="26" width="5.7109375" customWidth="1"/>
  </cols>
  <sheetData>
    <row r="1" spans="1:17" ht="15.75" x14ac:dyDescent="0.25">
      <c r="A1" s="30" t="s">
        <v>11</v>
      </c>
      <c r="B1" s="147"/>
      <c r="K1" s="147"/>
      <c r="M1" s="147"/>
      <c r="N1" s="146"/>
      <c r="O1" s="146"/>
      <c r="Q1" s="147"/>
    </row>
    <row r="2" spans="1:17" x14ac:dyDescent="0.2">
      <c r="A2" s="147"/>
      <c r="B2" s="147"/>
      <c r="C2" s="147"/>
      <c r="D2" s="147"/>
      <c r="E2" s="147"/>
      <c r="K2" s="83"/>
      <c r="M2" s="83"/>
      <c r="N2" s="147"/>
      <c r="O2" s="146"/>
      <c r="P2" s="146"/>
    </row>
    <row r="3" spans="1:17" x14ac:dyDescent="0.2">
      <c r="A3" s="67" t="s">
        <v>54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</row>
    <row r="4" spans="1:17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43161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</row>
    <row r="5" spans="1:17" s="82" customFormat="1" ht="22.5" x14ac:dyDescent="0.2">
      <c r="A5" s="70"/>
      <c r="B5" s="71" t="s">
        <v>141</v>
      </c>
      <c r="C5" s="161">
        <v>0.112355</v>
      </c>
      <c r="D5" s="161">
        <v>0.11235499999999998</v>
      </c>
      <c r="E5" s="169">
        <v>0.11235499999999998</v>
      </c>
      <c r="F5" s="161">
        <v>0.112355</v>
      </c>
      <c r="G5" s="169">
        <v>0.1124</v>
      </c>
      <c r="H5" s="169">
        <v>0.112355</v>
      </c>
      <c r="I5" s="169">
        <v>0.112355</v>
      </c>
      <c r="J5" s="169">
        <v>0.112355</v>
      </c>
      <c r="K5" s="169">
        <v>0.112355</v>
      </c>
      <c r="L5" s="169">
        <v>0.11235499999999998</v>
      </c>
      <c r="M5" s="169">
        <v>0.112355</v>
      </c>
      <c r="N5" s="183">
        <v>0.11235499999999998</v>
      </c>
      <c r="O5" s="114"/>
      <c r="P5" s="112"/>
    </row>
    <row r="6" spans="1:17" x14ac:dyDescent="0.2">
      <c r="A6" s="67"/>
      <c r="B6" s="67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15"/>
      <c r="P6" s="146"/>
    </row>
    <row r="7" spans="1:17" x14ac:dyDescent="0.2">
      <c r="A7" s="72" t="s">
        <v>56</v>
      </c>
      <c r="B7" s="148" t="s">
        <v>142</v>
      </c>
      <c r="C7" s="73">
        <f>21973.05/(2976/2976)</f>
        <v>21973.05</v>
      </c>
      <c r="D7" s="73">
        <f>24533.719/(2825/2976)</f>
        <v>25845.07884743363</v>
      </c>
      <c r="E7" s="73">
        <f>22499.325/(2880/2880)</f>
        <v>22499.325000000001</v>
      </c>
      <c r="F7" s="73">
        <f>10415.97/(2970/2976)</f>
        <v>10437.012363636364</v>
      </c>
      <c r="G7" s="73">
        <f>4807.155/(2879/2880)</f>
        <v>4808.8247308093087</v>
      </c>
      <c r="H7" s="73">
        <f>1676.753/(2706/2976)</f>
        <v>1844.0565144124166</v>
      </c>
      <c r="I7" s="73">
        <f>480.215/(361/2976)</f>
        <v>3958.7807202216063</v>
      </c>
      <c r="J7" s="73">
        <f>3374/(2688/2688)</f>
        <v>3374</v>
      </c>
      <c r="K7" s="73">
        <f>4454.14/(2256/2976)</f>
        <v>5875.6740425531916</v>
      </c>
      <c r="L7" s="73">
        <f>6370.78/(2843/2880)</f>
        <v>6453.6920154766094</v>
      </c>
      <c r="M7" s="73">
        <f>9330/(2802/2976)</f>
        <v>9909.3790149892939</v>
      </c>
      <c r="N7" s="179">
        <f>15383.826/(2250/2880)</f>
        <v>19691.297279999999</v>
      </c>
      <c r="O7" s="73">
        <f>SUM(C7:N7)</f>
        <v>136670.17052953242</v>
      </c>
      <c r="P7" s="146"/>
    </row>
    <row r="8" spans="1:17" x14ac:dyDescent="0.2">
      <c r="A8" s="148" t="s">
        <v>58</v>
      </c>
      <c r="B8" s="148" t="s">
        <v>36</v>
      </c>
      <c r="C8" s="74">
        <f>ROUND(C7*C$5,2)</f>
        <v>2468.7800000000002</v>
      </c>
      <c r="D8" s="74">
        <f t="shared" ref="D8:N8" si="0">ROUND(D7*D$5,2)</f>
        <v>2903.82</v>
      </c>
      <c r="E8" s="74">
        <f t="shared" si="0"/>
        <v>2527.91</v>
      </c>
      <c r="F8" s="74">
        <f t="shared" si="0"/>
        <v>1172.6500000000001</v>
      </c>
      <c r="G8" s="74">
        <f t="shared" si="0"/>
        <v>540.51</v>
      </c>
      <c r="H8" s="74">
        <f t="shared" si="0"/>
        <v>207.19</v>
      </c>
      <c r="I8" s="74">
        <f t="shared" si="0"/>
        <v>444.79</v>
      </c>
      <c r="J8" s="74">
        <f t="shared" si="0"/>
        <v>379.09</v>
      </c>
      <c r="K8" s="74">
        <f t="shared" si="0"/>
        <v>660.16</v>
      </c>
      <c r="L8" s="74">
        <f t="shared" si="0"/>
        <v>725.1</v>
      </c>
      <c r="M8" s="74">
        <f t="shared" si="0"/>
        <v>1113.3699999999999</v>
      </c>
      <c r="N8" s="180">
        <f t="shared" si="0"/>
        <v>2212.42</v>
      </c>
      <c r="O8" s="74">
        <f>SUM(C8:N8)</f>
        <v>15355.790000000003</v>
      </c>
      <c r="P8" s="146"/>
    </row>
    <row r="9" spans="1:17" x14ac:dyDescent="0.2">
      <c r="A9" s="163" t="s">
        <v>143</v>
      </c>
      <c r="B9" s="148"/>
      <c r="C9" s="74"/>
      <c r="D9" s="74"/>
      <c r="E9" s="74"/>
      <c r="F9" s="74"/>
      <c r="G9" s="74"/>
      <c r="H9" s="74"/>
      <c r="I9" s="74"/>
      <c r="J9" s="74"/>
      <c r="L9" s="74"/>
      <c r="M9" s="74"/>
      <c r="N9" s="180"/>
      <c r="O9" s="74"/>
      <c r="P9" s="146"/>
    </row>
    <row r="10" spans="1:17" x14ac:dyDescent="0.2">
      <c r="A10" s="148"/>
      <c r="B10" s="148"/>
      <c r="C10" s="88"/>
      <c r="D10" s="88"/>
      <c r="E10" s="88"/>
      <c r="F10" s="88"/>
      <c r="G10" s="88"/>
      <c r="H10" s="88"/>
      <c r="I10" s="88"/>
      <c r="J10" s="88"/>
      <c r="L10" s="88"/>
      <c r="M10" s="88"/>
      <c r="N10" s="184"/>
      <c r="O10" s="113"/>
      <c r="P10" s="146"/>
    </row>
    <row r="11" spans="1:17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18"/>
    </row>
    <row r="12" spans="1:17" x14ac:dyDescent="0.2">
      <c r="A12" s="147" t="s">
        <v>144</v>
      </c>
      <c r="B12" s="78"/>
      <c r="C12" s="73">
        <f>SUM(C7)</f>
        <v>21973.05</v>
      </c>
      <c r="D12" s="73">
        <f>SUM(D7)</f>
        <v>25845.07884743363</v>
      </c>
      <c r="E12" s="73">
        <f>SUM(E7)</f>
        <v>22499.325000000001</v>
      </c>
      <c r="F12" s="73">
        <f t="shared" ref="F12:H12" si="1">SUM(F7)</f>
        <v>10437.012363636364</v>
      </c>
      <c r="G12" s="73">
        <f t="shared" si="1"/>
        <v>4808.8247308093087</v>
      </c>
      <c r="H12" s="73">
        <f t="shared" si="1"/>
        <v>1844.0565144124166</v>
      </c>
      <c r="I12" s="73">
        <f t="shared" ref="I12:J12" si="2">SUM(I7)</f>
        <v>3958.7807202216063</v>
      </c>
      <c r="J12" s="73">
        <f t="shared" si="2"/>
        <v>3374</v>
      </c>
      <c r="K12" s="73">
        <f>SUM(K7)</f>
        <v>5875.6740425531916</v>
      </c>
      <c r="L12" s="73">
        <f>SUM(L7)</f>
        <v>6453.6920154766094</v>
      </c>
      <c r="M12" s="73">
        <f t="shared" ref="M12:N12" si="3">SUM(M7)</f>
        <v>9909.3790149892939</v>
      </c>
      <c r="N12" s="179">
        <f t="shared" si="3"/>
        <v>19691.297279999999</v>
      </c>
      <c r="O12" s="73">
        <f>SUM(O7)</f>
        <v>136670.17052953242</v>
      </c>
      <c r="P12" s="73">
        <f>SUM(C12:N12)</f>
        <v>136670.17052953242</v>
      </c>
    </row>
    <row r="13" spans="1:17" x14ac:dyDescent="0.2">
      <c r="A13" s="147" t="s">
        <v>39</v>
      </c>
      <c r="B13" s="147"/>
      <c r="C13" s="74">
        <f>ROUND(SUM(C8),2)</f>
        <v>2468.7800000000002</v>
      </c>
      <c r="D13" s="74">
        <f t="shared" ref="D13:N13" si="4">ROUND(SUM(D8),2)</f>
        <v>2903.82</v>
      </c>
      <c r="E13" s="74">
        <f>ROUND(SUM(E8),2)</f>
        <v>2527.91</v>
      </c>
      <c r="F13" s="74">
        <f t="shared" si="4"/>
        <v>1172.6500000000001</v>
      </c>
      <c r="G13" s="74">
        <f t="shared" si="4"/>
        <v>540.51</v>
      </c>
      <c r="H13" s="74">
        <f t="shared" si="4"/>
        <v>207.19</v>
      </c>
      <c r="I13" s="74">
        <f t="shared" si="4"/>
        <v>444.79</v>
      </c>
      <c r="J13" s="74">
        <f t="shared" si="4"/>
        <v>379.09</v>
      </c>
      <c r="K13" s="74">
        <f t="shared" si="4"/>
        <v>660.16</v>
      </c>
      <c r="L13" s="74">
        <f t="shared" si="4"/>
        <v>725.1</v>
      </c>
      <c r="M13" s="74">
        <f t="shared" si="4"/>
        <v>1113.3699999999999</v>
      </c>
      <c r="N13" s="74">
        <f t="shared" si="4"/>
        <v>2212.42</v>
      </c>
      <c r="O13" s="150">
        <f>SUM(O8)</f>
        <v>15355.790000000003</v>
      </c>
      <c r="P13" s="73">
        <f>TRUNC(SUM(C13:N13),2)</f>
        <v>15355.79</v>
      </c>
    </row>
    <row r="14" spans="1:17" x14ac:dyDescent="0.2">
      <c r="A14" s="147"/>
      <c r="B14" s="147"/>
      <c r="H14" s="174"/>
      <c r="K14" s="147"/>
      <c r="M14" s="147"/>
      <c r="N14" s="147"/>
      <c r="O14" s="146"/>
      <c r="P14" s="146"/>
    </row>
    <row r="15" spans="1:17" x14ac:dyDescent="0.2">
      <c r="A15" s="8" t="s">
        <v>18</v>
      </c>
      <c r="B15" s="147"/>
      <c r="K15" s="147"/>
      <c r="M15" s="147"/>
      <c r="N15" s="147"/>
      <c r="O15" s="146"/>
      <c r="P15" s="146"/>
    </row>
    <row r="16" spans="1:17" x14ac:dyDescent="0.2">
      <c r="A16" s="45" t="s">
        <v>145</v>
      </c>
      <c r="B16" s="147"/>
      <c r="K16" s="147"/>
      <c r="M16" s="147"/>
      <c r="N16" s="147"/>
      <c r="O16" s="146"/>
      <c r="P16" s="146"/>
    </row>
    <row r="17" spans="1:2" x14ac:dyDescent="0.2">
      <c r="A17" s="45" t="s">
        <v>146</v>
      </c>
      <c r="B17" s="147"/>
    </row>
    <row r="18" spans="1:2" x14ac:dyDescent="0.2">
      <c r="A18" s="8" t="s">
        <v>147</v>
      </c>
      <c r="B18" s="147"/>
    </row>
    <row r="19" spans="1:2" x14ac:dyDescent="0.2">
      <c r="A19" s="8" t="s">
        <v>148</v>
      </c>
      <c r="B19" s="147"/>
    </row>
    <row r="20" spans="1:2" x14ac:dyDescent="0.2">
      <c r="A20" s="83"/>
      <c r="B20" s="83"/>
    </row>
    <row r="54" spans="1:16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147"/>
      <c r="L54" s="83"/>
      <c r="M54" s="147"/>
      <c r="N54" s="147"/>
      <c r="O54" s="146"/>
      <c r="P54" s="146"/>
    </row>
    <row r="55" spans="1:16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147"/>
      <c r="L55" s="83"/>
      <c r="M55" s="147"/>
      <c r="N55" s="147"/>
      <c r="O55" s="146"/>
      <c r="P55" s="146"/>
    </row>
    <row r="56" spans="1:16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147"/>
      <c r="L56" s="83"/>
      <c r="M56" s="147"/>
      <c r="N56" s="147"/>
      <c r="O56" s="146"/>
      <c r="P56" s="146"/>
    </row>
    <row r="57" spans="1:16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147"/>
      <c r="L57" s="83"/>
      <c r="M57" s="147"/>
      <c r="N57" s="147"/>
      <c r="O57" s="146"/>
      <c r="P57" s="146"/>
    </row>
    <row r="58" spans="1:16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147"/>
      <c r="L58" s="83"/>
      <c r="M58" s="147"/>
      <c r="N58" s="147"/>
      <c r="O58" s="146"/>
      <c r="P58" s="146"/>
    </row>
    <row r="61" spans="1:16" s="63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147"/>
      <c r="L61" s="83"/>
      <c r="M61" s="147"/>
      <c r="N61" s="147"/>
      <c r="O61" s="146"/>
      <c r="P61" s="146"/>
    </row>
    <row r="62" spans="1:16" s="44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147"/>
      <c r="L62" s="83"/>
      <c r="M62" s="147"/>
      <c r="N62" s="147"/>
      <c r="O62" s="146"/>
      <c r="P62" s="146"/>
    </row>
  </sheetData>
  <phoneticPr fontId="5" type="noConversion"/>
  <printOptions horizontalCentered="1" verticalCentered="1"/>
  <pageMargins left="0" right="0" top="0.5" bottom="0.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7"/>
  <sheetViews>
    <sheetView tabSelected="1" zoomScale="140" zoomScaleNormal="140" workbookViewId="0">
      <pane xSplit="2" ySplit="3" topLeftCell="G4" activePane="bottomRight" state="frozen"/>
      <selection activeCell="D26" activeCellId="1" sqref="I28 D26"/>
      <selection pane="topRight" activeCell="D26" activeCellId="1" sqref="I28 D26"/>
      <selection pane="bottomLeft" activeCell="D26" activeCellId="1" sqref="I28 D26"/>
      <selection pane="bottomRight" activeCell="R12" sqref="R12"/>
    </sheetView>
  </sheetViews>
  <sheetFormatPr defaultColWidth="9.140625" defaultRowHeight="11.25" x14ac:dyDescent="0.2"/>
  <cols>
    <col min="1" max="1" width="15.140625" style="49" customWidth="1"/>
    <col min="2" max="2" width="11.28515625" style="49" customWidth="1"/>
    <col min="3" max="4" width="8.7109375" style="83" customWidth="1"/>
    <col min="5" max="5" width="11.28515625" style="83" customWidth="1"/>
    <col min="6" max="6" width="8.7109375" style="83" customWidth="1"/>
    <col min="7" max="7" width="9.85546875" style="83" hidden="1" customWidth="1"/>
    <col min="8" max="9" width="8.7109375" style="83" hidden="1" customWidth="1"/>
    <col min="10" max="10" width="8.7109375" style="83" customWidth="1"/>
    <col min="11" max="11" width="9" style="83" hidden="1" customWidth="1"/>
    <col min="12" max="13" width="8.7109375" style="83" hidden="1" customWidth="1"/>
    <col min="14" max="14" width="8.42578125" style="83" hidden="1" customWidth="1"/>
    <col min="15" max="15" width="10.42578125" style="83" hidden="1" customWidth="1"/>
    <col min="16" max="16" width="12.5703125" style="49" hidden="1" customWidth="1"/>
    <col min="17" max="20" width="9.140625" style="49" customWidth="1"/>
    <col min="21" max="16384" width="9.140625" style="49"/>
  </cols>
  <sheetData>
    <row r="1" spans="1:21" ht="15.75" x14ac:dyDescent="0.25">
      <c r="A1" s="43" t="s">
        <v>2</v>
      </c>
      <c r="B1" s="147"/>
      <c r="O1" s="147"/>
    </row>
    <row r="2" spans="1:21" x14ac:dyDescent="0.2">
      <c r="A2" s="75"/>
      <c r="B2" s="75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75"/>
    </row>
    <row r="3" spans="1:21" x14ac:dyDescent="0.2">
      <c r="A3" s="148" t="s">
        <v>3</v>
      </c>
      <c r="B3" s="148" t="s">
        <v>4</v>
      </c>
      <c r="C3" s="187">
        <v>42917</v>
      </c>
      <c r="D3" s="187">
        <v>42948</v>
      </c>
      <c r="E3" s="187">
        <v>42979</v>
      </c>
      <c r="F3" s="187">
        <v>43009</v>
      </c>
      <c r="G3" s="187">
        <v>43040</v>
      </c>
      <c r="H3" s="187">
        <v>43070</v>
      </c>
      <c r="I3" s="187">
        <v>43101</v>
      </c>
      <c r="J3" s="187">
        <v>43132</v>
      </c>
      <c r="K3" s="187">
        <v>43160</v>
      </c>
      <c r="L3" s="187">
        <v>43191</v>
      </c>
      <c r="M3" s="187">
        <v>43221</v>
      </c>
      <c r="N3" s="187">
        <v>43252</v>
      </c>
      <c r="O3" s="175" t="s">
        <v>1</v>
      </c>
      <c r="P3" s="188" t="s">
        <v>5</v>
      </c>
    </row>
    <row r="4" spans="1:21" x14ac:dyDescent="0.2">
      <c r="A4" s="67"/>
      <c r="B4" s="67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88"/>
      <c r="P4" s="147"/>
    </row>
    <row r="5" spans="1:21" x14ac:dyDescent="0.2">
      <c r="A5" s="148" t="s">
        <v>6</v>
      </c>
      <c r="B5" s="72" t="s">
        <v>7</v>
      </c>
      <c r="C5" s="216">
        <f>Electricity!C9</f>
        <v>2487.4299999999998</v>
      </c>
      <c r="D5" s="216">
        <f>Electricity!D9</f>
        <v>3394.93</v>
      </c>
      <c r="E5" s="216">
        <f>Electricity!E9</f>
        <v>3646.98</v>
      </c>
      <c r="F5" s="216">
        <f>Electricity!F9</f>
        <v>3764.91</v>
      </c>
      <c r="G5" s="216">
        <f>Electricity!G9</f>
        <v>2917.23</v>
      </c>
      <c r="H5" s="216">
        <f>Electricity!H9</f>
        <v>2314.16</v>
      </c>
      <c r="I5" s="216">
        <f>Electricity!I9</f>
        <v>3247.72</v>
      </c>
      <c r="J5" s="216">
        <f>Electricity!J9</f>
        <v>2813.35</v>
      </c>
      <c r="K5" s="216">
        <f>Electricity!K9</f>
        <v>3279.53</v>
      </c>
      <c r="L5" s="216">
        <f>Electricity!L9</f>
        <v>3797.08</v>
      </c>
      <c r="M5" s="216">
        <f>Electricity!M9</f>
        <v>3506.93</v>
      </c>
      <c r="N5" s="216">
        <f>TRUNC(Electricity!N9,2)</f>
        <v>3007.09</v>
      </c>
      <c r="O5" s="216">
        <f>TRUNC(SUM(C5:N5), 2)</f>
        <v>38177.339999999997</v>
      </c>
      <c r="P5" s="217"/>
    </row>
    <row r="6" spans="1:21" x14ac:dyDescent="0.2">
      <c r="A6" s="148" t="s">
        <v>8</v>
      </c>
      <c r="B6" s="72" t="s">
        <v>9</v>
      </c>
      <c r="C6" s="231">
        <f>ROUND(2/24*(Gas!C$9+Gas!C$13),2)</f>
        <v>73.900000000000006</v>
      </c>
      <c r="D6" s="231">
        <f>ROUND(2/24*(Gas!D$9+Gas!D$13),2)</f>
        <v>114.79</v>
      </c>
      <c r="E6" s="216">
        <f>ROUND(2/24*(Gas!E$9+Gas!E$13),2)</f>
        <v>196.28</v>
      </c>
      <c r="F6" s="216">
        <f>ROUND(2/24*(Gas!F$9+Gas!F$13),2)</f>
        <v>218.5</v>
      </c>
      <c r="G6" s="231">
        <f>ROUND(2/24*(Gas!G$9+Gas!G$13),2)</f>
        <v>296.24</v>
      </c>
      <c r="H6" s="233">
        <f>ROUND(2/24*(Gas!H$9+Gas!H$13),2)</f>
        <v>285.52</v>
      </c>
      <c r="I6" s="233">
        <f>ROUND(2/24*(Gas!I$9+Gas!I$13),2)</f>
        <v>299.2</v>
      </c>
      <c r="J6" s="216">
        <f>ROUND(2/24*(Gas!J$9+Gas!J$13),2)</f>
        <v>334.18</v>
      </c>
      <c r="K6" s="231">
        <f>ROUND(2/24*(Gas!K$9+Gas!K$13),2)</f>
        <v>-2419.0500000000002</v>
      </c>
      <c r="L6" s="231">
        <f>ROUND(2/24*(Gas!L$9+Gas!L$13),2)</f>
        <v>612.30999999999995</v>
      </c>
      <c r="M6" s="231">
        <f>ROUND(2/24*(Gas!M$9+Gas!M$13),2)</f>
        <v>300.97000000000003</v>
      </c>
      <c r="N6" s="231">
        <f>ROUND(2/24*(Gas!N$9+Gas!N$13),2)</f>
        <v>49.82</v>
      </c>
      <c r="O6" s="231">
        <f>ROUND(2/24*(Gas!O$9+Gas!O$13),2)</f>
        <v>362.66</v>
      </c>
      <c r="P6" s="217"/>
    </row>
    <row r="7" spans="1:21" x14ac:dyDescent="0.2">
      <c r="A7" s="148"/>
      <c r="B7" s="148" t="s">
        <v>10</v>
      </c>
      <c r="C7" s="216">
        <f>Water!C9</f>
        <v>982.04</v>
      </c>
      <c r="D7" s="216">
        <f>Water!D9</f>
        <v>1516.4</v>
      </c>
      <c r="E7" s="216">
        <f>Water!E9</f>
        <v>3864.58</v>
      </c>
      <c r="F7" s="216">
        <f>Water!F9</f>
        <v>1604.36</v>
      </c>
      <c r="G7" s="216">
        <f>Water!G9</f>
        <v>1409.34</v>
      </c>
      <c r="H7" s="216">
        <f>Water!H9</f>
        <v>836.38</v>
      </c>
      <c r="I7" s="216">
        <f>Water!I9</f>
        <v>997.09</v>
      </c>
      <c r="J7" s="216">
        <f>Water!J9</f>
        <v>1728.57</v>
      </c>
      <c r="K7" s="216">
        <f>Water!K9</f>
        <v>1594.29</v>
      </c>
      <c r="L7" s="216">
        <f>Water!L9</f>
        <v>3437.4</v>
      </c>
      <c r="M7" s="216">
        <f>Water!M9</f>
        <v>2261.69</v>
      </c>
      <c r="N7" s="216">
        <f>TRUNC(Water!N9,2)</f>
        <v>679.29</v>
      </c>
      <c r="O7" s="216">
        <f>TRUNC(SUM(C7:N7), 2)</f>
        <v>20911.43</v>
      </c>
      <c r="P7" s="217"/>
    </row>
    <row r="8" spans="1:21" x14ac:dyDescent="0.2">
      <c r="A8" s="148"/>
      <c r="B8" s="148" t="s">
        <v>11</v>
      </c>
      <c r="C8" s="216">
        <f>'Chilled Water'!C8</f>
        <v>2468.7800000000002</v>
      </c>
      <c r="D8" s="216">
        <f>'Chilled Water'!D8</f>
        <v>2903.82</v>
      </c>
      <c r="E8" s="216">
        <f>'Chilled Water'!E8</f>
        <v>2527.91</v>
      </c>
      <c r="F8" s="216">
        <f>'Chilled Water'!F8</f>
        <v>1172.6500000000001</v>
      </c>
      <c r="G8" s="216">
        <f>'Chilled Water'!G8</f>
        <v>540.51</v>
      </c>
      <c r="H8" s="216">
        <f>'Chilled Water'!H8</f>
        <v>207.19</v>
      </c>
      <c r="I8" s="216">
        <f>'Chilled Water'!I8</f>
        <v>444.79</v>
      </c>
      <c r="J8" s="216">
        <f>'Chilled Water'!J8</f>
        <v>379.09</v>
      </c>
      <c r="K8" s="216">
        <f>'Chilled Water'!K8</f>
        <v>660.16</v>
      </c>
      <c r="L8" s="216">
        <f>'Chilled Water'!L8</f>
        <v>725.1</v>
      </c>
      <c r="M8" s="216">
        <f>'Chilled Water'!M8</f>
        <v>1113.3699999999999</v>
      </c>
      <c r="N8" s="216">
        <f>TRUNC('Chilled Water'!N8,2)</f>
        <v>2212.42</v>
      </c>
      <c r="O8" s="216">
        <f>TRUNC(SUM(C8:N8), 2)</f>
        <v>15355.79</v>
      </c>
      <c r="P8" s="217"/>
    </row>
    <row r="9" spans="1:21" x14ac:dyDescent="0.2">
      <c r="A9" s="148" t="s">
        <v>12</v>
      </c>
      <c r="B9" s="72" t="s">
        <v>7</v>
      </c>
      <c r="C9" s="216">
        <f>Electricity!C12</f>
        <v>6609.78</v>
      </c>
      <c r="D9" s="216">
        <f>Electricity!D12</f>
        <v>9564.93</v>
      </c>
      <c r="E9" s="216">
        <f>Electricity!E12</f>
        <v>9136.5499999999993</v>
      </c>
      <c r="F9" s="216">
        <f>Electricity!F12</f>
        <v>9265.2199999999993</v>
      </c>
      <c r="G9" s="216">
        <f>Electricity!G12</f>
        <v>7253.55</v>
      </c>
      <c r="H9" s="216">
        <f>Electricity!H12</f>
        <v>5733.99</v>
      </c>
      <c r="I9" s="216">
        <f>Electricity!I12</f>
        <v>9065.23</v>
      </c>
      <c r="J9" s="216">
        <f>Electricity!J12</f>
        <v>7750.43</v>
      </c>
      <c r="K9" s="216">
        <f>Electricity!K12</f>
        <v>8056.86</v>
      </c>
      <c r="L9" s="216">
        <f>Electricity!L12</f>
        <v>10052.07</v>
      </c>
      <c r="M9" s="216">
        <f>Electricity!M12</f>
        <v>7806.68</v>
      </c>
      <c r="N9" s="216">
        <f>TRUNC(Electricity!N12,2)</f>
        <v>6618.68</v>
      </c>
      <c r="O9" s="216">
        <f>TRUNC(SUM(C9:N9), 2)</f>
        <v>96913.97</v>
      </c>
      <c r="P9" s="217"/>
    </row>
    <row r="10" spans="1:21" x14ac:dyDescent="0.2">
      <c r="A10" s="75"/>
      <c r="B10" s="152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9"/>
    </row>
    <row r="11" spans="1:21" x14ac:dyDescent="0.2">
      <c r="A11" s="148"/>
      <c r="B11" s="148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7"/>
    </row>
    <row r="12" spans="1:21" x14ac:dyDescent="0.2">
      <c r="A12" s="148"/>
      <c r="B12" s="72" t="s">
        <v>7</v>
      </c>
      <c r="C12" s="74">
        <f>ROUND(SUM(C5,C9),2)</f>
        <v>9097.2099999999991</v>
      </c>
      <c r="D12" s="74">
        <f t="shared" ref="D12:N12" si="0">ROUND(SUM(D5,D9),2)</f>
        <v>12959.86</v>
      </c>
      <c r="E12" s="74">
        <f t="shared" si="0"/>
        <v>12783.53</v>
      </c>
      <c r="F12" s="74">
        <f t="shared" si="0"/>
        <v>13030.13</v>
      </c>
      <c r="G12" s="74">
        <f t="shared" si="0"/>
        <v>10170.780000000001</v>
      </c>
      <c r="H12" s="74">
        <f t="shared" si="0"/>
        <v>8048.15</v>
      </c>
      <c r="I12" s="74">
        <f t="shared" si="0"/>
        <v>12312.95</v>
      </c>
      <c r="J12" s="74">
        <f t="shared" si="0"/>
        <v>10563.78</v>
      </c>
      <c r="K12" s="74">
        <f t="shared" si="0"/>
        <v>11336.39</v>
      </c>
      <c r="L12" s="74">
        <f t="shared" si="0"/>
        <v>13849.15</v>
      </c>
      <c r="M12" s="74">
        <f t="shared" si="0"/>
        <v>11313.61</v>
      </c>
      <c r="N12" s="74">
        <f t="shared" si="0"/>
        <v>9625.77</v>
      </c>
      <c r="O12" s="227">
        <f>ROUND(SUM(O5,O9),2)</f>
        <v>135091.31</v>
      </c>
      <c r="P12" s="228">
        <f>SUM(O5,O9)</f>
        <v>135091.31</v>
      </c>
    </row>
    <row r="13" spans="1:21" x14ac:dyDescent="0.2">
      <c r="A13" s="148"/>
      <c r="B13" s="72" t="s">
        <v>9</v>
      </c>
      <c r="C13" s="74">
        <f>SUM(C6)</f>
        <v>73.900000000000006</v>
      </c>
      <c r="D13" s="74">
        <f t="shared" ref="D13:E13" si="1">SUM(D6)</f>
        <v>114.79</v>
      </c>
      <c r="E13" s="74">
        <f t="shared" si="1"/>
        <v>196.28</v>
      </c>
      <c r="F13" s="74">
        <f t="shared" ref="F13:H15" si="2">SUM(F6)</f>
        <v>218.5</v>
      </c>
      <c r="G13" s="74">
        <f>ROUND(SUM(G6),2)</f>
        <v>296.24</v>
      </c>
      <c r="H13" s="74">
        <f t="shared" ref="H13:O13" si="3">ROUND(SUM(H6),2)</f>
        <v>285.52</v>
      </c>
      <c r="I13" s="74">
        <f t="shared" si="3"/>
        <v>299.2</v>
      </c>
      <c r="J13" s="74">
        <f t="shared" si="3"/>
        <v>334.18</v>
      </c>
      <c r="K13" s="74">
        <f t="shared" si="3"/>
        <v>-2419.0500000000002</v>
      </c>
      <c r="L13" s="74">
        <f t="shared" si="3"/>
        <v>612.30999999999995</v>
      </c>
      <c r="M13" s="74">
        <f t="shared" si="3"/>
        <v>300.97000000000003</v>
      </c>
      <c r="N13" s="74">
        <f t="shared" si="3"/>
        <v>49.82</v>
      </c>
      <c r="O13" s="74">
        <f>ROUND(SUM(O6),2)</f>
        <v>362.66</v>
      </c>
      <c r="P13" s="228">
        <f>SUM(O6)</f>
        <v>362.66</v>
      </c>
    </row>
    <row r="14" spans="1:21" x14ac:dyDescent="0.2">
      <c r="A14" s="148"/>
      <c r="B14" s="148" t="s">
        <v>10</v>
      </c>
      <c r="C14" s="74">
        <f t="shared" ref="C14:E15" si="4">SUM(C7)</f>
        <v>982.04</v>
      </c>
      <c r="D14" s="74">
        <f t="shared" si="4"/>
        <v>1516.4</v>
      </c>
      <c r="E14" s="74">
        <f t="shared" si="4"/>
        <v>3864.58</v>
      </c>
      <c r="F14" s="74">
        <f t="shared" si="2"/>
        <v>1604.36</v>
      </c>
      <c r="G14" s="74">
        <f>ROUND(SUM(G7),2)</f>
        <v>1409.34</v>
      </c>
      <c r="H14" s="74">
        <f t="shared" ref="H14:N14" si="5">ROUND(SUM(H7),2)</f>
        <v>836.38</v>
      </c>
      <c r="I14" s="74">
        <f t="shared" si="5"/>
        <v>997.09</v>
      </c>
      <c r="J14" s="74">
        <f t="shared" si="5"/>
        <v>1728.57</v>
      </c>
      <c r="K14" s="74">
        <f t="shared" si="5"/>
        <v>1594.29</v>
      </c>
      <c r="L14" s="74">
        <f t="shared" si="5"/>
        <v>3437.4</v>
      </c>
      <c r="M14" s="74">
        <f t="shared" si="5"/>
        <v>2261.69</v>
      </c>
      <c r="N14" s="74">
        <f t="shared" si="5"/>
        <v>679.29</v>
      </c>
      <c r="O14" s="227">
        <f>ROUND(SUM(O7),2)</f>
        <v>20911.43</v>
      </c>
      <c r="P14" s="228">
        <f>SUM(O7)</f>
        <v>20911.43</v>
      </c>
    </row>
    <row r="15" spans="1:21" x14ac:dyDescent="0.2">
      <c r="A15" s="148"/>
      <c r="B15" s="148" t="s">
        <v>11</v>
      </c>
      <c r="C15" s="74">
        <f t="shared" si="4"/>
        <v>2468.7800000000002</v>
      </c>
      <c r="D15" s="74">
        <f t="shared" si="4"/>
        <v>2903.82</v>
      </c>
      <c r="E15" s="74">
        <f t="shared" si="4"/>
        <v>2527.91</v>
      </c>
      <c r="F15" s="74">
        <f t="shared" si="2"/>
        <v>1172.6500000000001</v>
      </c>
      <c r="G15" s="74">
        <f>ROUND(SUM(G8),2)</f>
        <v>540.51</v>
      </c>
      <c r="H15" s="74">
        <f t="shared" ref="H15:N15" si="6">ROUND(SUM(H8),2)</f>
        <v>207.19</v>
      </c>
      <c r="I15" s="74">
        <f t="shared" si="6"/>
        <v>444.79</v>
      </c>
      <c r="J15" s="74">
        <f t="shared" si="6"/>
        <v>379.09</v>
      </c>
      <c r="K15" s="74">
        <f t="shared" si="6"/>
        <v>660.16</v>
      </c>
      <c r="L15" s="74">
        <f t="shared" si="6"/>
        <v>725.1</v>
      </c>
      <c r="M15" s="74">
        <f t="shared" si="6"/>
        <v>1113.3699999999999</v>
      </c>
      <c r="N15" s="74">
        <f>ROUND(SUM(N8),2)</f>
        <v>2212.42</v>
      </c>
      <c r="O15" s="227">
        <f>ROUND(SUM(O8),2)</f>
        <v>15355.79</v>
      </c>
      <c r="P15" s="228">
        <f>SUM(O8)</f>
        <v>15355.79</v>
      </c>
    </row>
    <row r="16" spans="1:21" x14ac:dyDescent="0.2">
      <c r="A16" s="147" t="s">
        <v>1</v>
      </c>
      <c r="B16" s="147"/>
      <c r="C16" s="228">
        <f>SUM(C12:C15)</f>
        <v>12621.929999999998</v>
      </c>
      <c r="D16" s="228">
        <f t="shared" ref="D16:E16" si="7">SUM(D12:D15)</f>
        <v>17494.870000000003</v>
      </c>
      <c r="E16" s="228">
        <f t="shared" si="7"/>
        <v>19372.3</v>
      </c>
      <c r="F16" s="228">
        <f t="shared" ref="F16:J16" si="8">SUM(F12:F15)</f>
        <v>16025.64</v>
      </c>
      <c r="G16" s="229">
        <f t="shared" si="8"/>
        <v>12416.87</v>
      </c>
      <c r="H16" s="228">
        <f t="shared" si="8"/>
        <v>9377.24</v>
      </c>
      <c r="I16" s="228">
        <f t="shared" si="8"/>
        <v>14054.030000000002</v>
      </c>
      <c r="J16" s="228">
        <f t="shared" si="8"/>
        <v>13005.62</v>
      </c>
      <c r="K16" s="228">
        <f>SUM(K12:K15)</f>
        <v>11171.79</v>
      </c>
      <c r="L16" s="230">
        <f>SUM(L12:L15)</f>
        <v>18623.96</v>
      </c>
      <c r="M16" s="230">
        <f t="shared" ref="M16" si="9">SUM(M12:M15)</f>
        <v>14989.64</v>
      </c>
      <c r="N16" s="230">
        <f>SUM(N12:N15)</f>
        <v>12567.300000000001</v>
      </c>
      <c r="O16" s="230">
        <f>SUM(O12:O15)</f>
        <v>171721.19</v>
      </c>
      <c r="P16" s="228">
        <f>SUM(O5:O9)</f>
        <v>171721.19</v>
      </c>
      <c r="U16" s="147"/>
    </row>
    <row r="17" spans="1:18" ht="12.75" x14ac:dyDescent="0.2">
      <c r="A17" s="146"/>
      <c r="B17" s="146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74"/>
      <c r="P17" s="150" t="s">
        <v>149</v>
      </c>
      <c r="Q17" s="147"/>
      <c r="R17" s="147"/>
    </row>
    <row r="18" spans="1:18" hidden="1" x14ac:dyDescent="0.2">
      <c r="A18" s="147"/>
      <c r="B18" s="147"/>
      <c r="C18" s="149"/>
      <c r="D18" s="149"/>
      <c r="E18" s="149"/>
      <c r="F18" s="149"/>
      <c r="G18" s="149"/>
      <c r="H18" s="149"/>
      <c r="I18" s="149"/>
      <c r="J18" s="149"/>
      <c r="K18" s="149"/>
      <c r="L18" s="140"/>
      <c r="M18" s="149"/>
      <c r="N18" s="153"/>
      <c r="O18" s="150"/>
      <c r="P18" s="83"/>
      <c r="Q18" s="147"/>
      <c r="R18" s="147"/>
    </row>
    <row r="19" spans="1:18" hidden="1" x14ac:dyDescent="0.2">
      <c r="A19" s="148"/>
      <c r="B19" s="120" t="s">
        <v>13</v>
      </c>
      <c r="C19" s="151">
        <f>C12-Electricity!C15</f>
        <v>0</v>
      </c>
      <c r="D19" s="151">
        <f>D12-Electricity!D15</f>
        <v>0</v>
      </c>
      <c r="E19" s="151">
        <f>E12-Electricity!E15</f>
        <v>0</v>
      </c>
      <c r="F19" s="151">
        <f>F12-Electricity!F15</f>
        <v>0</v>
      </c>
      <c r="G19" s="151">
        <f>G12-Electricity!G15</f>
        <v>0</v>
      </c>
      <c r="H19" s="151">
        <f>H12-Electricity!H15</f>
        <v>0</v>
      </c>
      <c r="I19" s="151">
        <f>I12-Electricity!I15</f>
        <v>0</v>
      </c>
      <c r="J19" s="151">
        <f>J12-Electricity!J15</f>
        <v>0</v>
      </c>
      <c r="K19" s="151">
        <f>K12-Electricity!K15</f>
        <v>0</v>
      </c>
      <c r="L19" s="151">
        <f>L12-Electricity!L15</f>
        <v>0</v>
      </c>
      <c r="M19" s="151">
        <f>M12-Electricity!M15</f>
        <v>0</v>
      </c>
      <c r="N19" s="136">
        <f>N12-Electricity!N15</f>
        <v>0</v>
      </c>
      <c r="O19" s="151"/>
      <c r="P19" s="83"/>
      <c r="Q19" s="147"/>
      <c r="R19" s="147"/>
    </row>
    <row r="20" spans="1:18" hidden="1" x14ac:dyDescent="0.2">
      <c r="A20" s="148"/>
      <c r="B20" s="120" t="s">
        <v>14</v>
      </c>
      <c r="C20" s="151">
        <f>C13-(Gas!C16)</f>
        <v>0</v>
      </c>
      <c r="D20" s="151">
        <f>D13-(Gas!D16)</f>
        <v>0</v>
      </c>
      <c r="E20" s="151">
        <f>E13-(Gas!E16)</f>
        <v>0</v>
      </c>
      <c r="F20" s="151">
        <f>F13-(Gas!F16)</f>
        <v>0</v>
      </c>
      <c r="G20" s="151">
        <f>G13-(Gas!G16)</f>
        <v>0</v>
      </c>
      <c r="H20" s="151">
        <f>H13-(Gas!H16)</f>
        <v>0</v>
      </c>
      <c r="I20" s="151">
        <f>I13-(Gas!I16)</f>
        <v>0</v>
      </c>
      <c r="J20" s="151" t="e">
        <f>J13-(Gas!#REF!)</f>
        <v>#REF!</v>
      </c>
      <c r="K20" s="151">
        <f>K13-(Gas!K16)</f>
        <v>0</v>
      </c>
      <c r="L20" s="151">
        <f>L13-(Gas!L16)</f>
        <v>0</v>
      </c>
      <c r="M20" s="151">
        <f>M13-(Gas!M16)</f>
        <v>0</v>
      </c>
      <c r="N20" s="151">
        <f>N13-(Gas!N16)</f>
        <v>0</v>
      </c>
      <c r="O20" s="144"/>
      <c r="P20" s="83"/>
      <c r="Q20" s="147"/>
      <c r="R20" s="147"/>
    </row>
    <row r="21" spans="1:18" hidden="1" x14ac:dyDescent="0.2">
      <c r="A21" s="148"/>
      <c r="B21" s="120" t="s">
        <v>15</v>
      </c>
      <c r="C21" s="151">
        <f>C14-Water!C13</f>
        <v>0</v>
      </c>
      <c r="D21" s="151">
        <f>D14-Water!D13</f>
        <v>0</v>
      </c>
      <c r="E21" s="151">
        <f>E14-Water!E13</f>
        <v>0</v>
      </c>
      <c r="F21" s="151">
        <f>F14-Water!F13</f>
        <v>0</v>
      </c>
      <c r="G21" s="151">
        <f>G14-Water!G13</f>
        <v>0</v>
      </c>
      <c r="H21" s="151">
        <f>H14-Water!H13</f>
        <v>0</v>
      </c>
      <c r="I21" s="151">
        <f>I14-Water!I13</f>
        <v>0</v>
      </c>
      <c r="J21" s="151">
        <f>J14-Water!J13</f>
        <v>0</v>
      </c>
      <c r="K21" s="151">
        <f>K14-Water!K13</f>
        <v>0</v>
      </c>
      <c r="L21" s="151">
        <f>L14-Water!L13</f>
        <v>0</v>
      </c>
      <c r="M21" s="151">
        <f>M14-Water!M13</f>
        <v>0</v>
      </c>
      <c r="N21" s="136">
        <f>N14-Water!N13</f>
        <v>0</v>
      </c>
      <c r="O21" s="151"/>
      <c r="P21" s="83"/>
      <c r="Q21" s="147"/>
      <c r="R21" s="147"/>
    </row>
    <row r="22" spans="1:18" hidden="1" x14ac:dyDescent="0.2">
      <c r="A22" s="148"/>
      <c r="B22" s="120" t="s">
        <v>16</v>
      </c>
      <c r="C22" s="151">
        <f>C15-'Chilled Water'!C13</f>
        <v>0</v>
      </c>
      <c r="D22" s="151">
        <f>D15-'Chilled Water'!D13</f>
        <v>0</v>
      </c>
      <c r="E22" s="151">
        <f>E15-'Chilled Water'!E13</f>
        <v>0</v>
      </c>
      <c r="F22" s="151">
        <f>F15-'Chilled Water'!F13</f>
        <v>0</v>
      </c>
      <c r="G22" s="151">
        <f>G15-'Chilled Water'!G13</f>
        <v>0</v>
      </c>
      <c r="H22" s="151">
        <f>H15-'Chilled Water'!H13</f>
        <v>0</v>
      </c>
      <c r="I22" s="151">
        <f>I15-'Chilled Water'!I13</f>
        <v>0</v>
      </c>
      <c r="J22" s="151">
        <f>J15-'Chilled Water'!J13</f>
        <v>0</v>
      </c>
      <c r="K22" s="151">
        <f>K15-'Chilled Water'!K13</f>
        <v>0</v>
      </c>
      <c r="L22" s="151">
        <f>L15-'Chilled Water'!L13</f>
        <v>0</v>
      </c>
      <c r="M22" s="151">
        <f>M15-'Chilled Water'!M13</f>
        <v>0</v>
      </c>
      <c r="N22" s="136">
        <f>N15-'Chilled Water'!N13</f>
        <v>0</v>
      </c>
      <c r="O22" s="151"/>
      <c r="P22" s="83"/>
      <c r="Q22" s="147" t="s">
        <v>17</v>
      </c>
      <c r="R22" s="147"/>
    </row>
    <row r="23" spans="1:18" x14ac:dyDescent="0.2">
      <c r="A23" s="147"/>
      <c r="B23" s="147"/>
      <c r="D23" s="149"/>
      <c r="E23" s="149"/>
      <c r="O23" s="149"/>
      <c r="P23" s="147"/>
      <c r="Q23" s="147"/>
      <c r="R23" s="147"/>
    </row>
    <row r="24" spans="1:18" x14ac:dyDescent="0.2">
      <c r="A24" s="147" t="s">
        <v>18</v>
      </c>
      <c r="B24" s="147"/>
      <c r="G24" s="149"/>
      <c r="K24" s="149"/>
      <c r="P24" s="147"/>
      <c r="Q24" s="147"/>
      <c r="R24" s="147" t="s">
        <v>19</v>
      </c>
    </row>
    <row r="25" spans="1:18" x14ac:dyDescent="0.2">
      <c r="A25" s="147" t="s">
        <v>20</v>
      </c>
      <c r="B25" s="147"/>
      <c r="M25" s="149"/>
      <c r="N25" s="149"/>
      <c r="P25" s="147"/>
      <c r="Q25" s="147"/>
      <c r="R25" s="147"/>
    </row>
    <row r="26" spans="1:18" x14ac:dyDescent="0.2">
      <c r="A26" s="50" t="s">
        <v>21</v>
      </c>
      <c r="B26" s="147"/>
      <c r="P26" s="147"/>
      <c r="Q26" s="147"/>
      <c r="R26" s="147"/>
    </row>
    <row r="27" spans="1:18" x14ac:dyDescent="0.2">
      <c r="A27" s="50" t="s">
        <v>22</v>
      </c>
      <c r="B27" s="147"/>
      <c r="P27" s="147"/>
      <c r="Q27" s="147"/>
      <c r="R27" s="147"/>
    </row>
    <row r="28" spans="1:18" x14ac:dyDescent="0.2">
      <c r="A28" s="50" t="s">
        <v>23</v>
      </c>
      <c r="B28" s="147"/>
      <c r="P28" s="147"/>
      <c r="Q28" s="147"/>
      <c r="R28" s="147"/>
    </row>
    <row r="29" spans="1:18" x14ac:dyDescent="0.2">
      <c r="A29" s="50" t="s">
        <v>24</v>
      </c>
      <c r="B29" s="147"/>
      <c r="P29" s="147"/>
      <c r="Q29" s="147"/>
      <c r="R29" s="147"/>
    </row>
    <row r="30" spans="1:18" x14ac:dyDescent="0.2">
      <c r="A30" s="50" t="s">
        <v>25</v>
      </c>
      <c r="B30" s="147"/>
      <c r="P30" s="147"/>
      <c r="Q30" s="147"/>
      <c r="R30" s="147"/>
    </row>
    <row r="31" spans="1:18" x14ac:dyDescent="0.2">
      <c r="A31" s="50" t="s">
        <v>26</v>
      </c>
      <c r="B31" s="147"/>
      <c r="P31" s="147"/>
      <c r="Q31" s="147"/>
      <c r="R31" s="147"/>
    </row>
    <row r="32" spans="1:18" x14ac:dyDescent="0.2">
      <c r="A32" s="50" t="s">
        <v>27</v>
      </c>
      <c r="B32" s="147"/>
      <c r="P32" s="147"/>
      <c r="Q32" s="147"/>
      <c r="R32" s="147"/>
    </row>
    <row r="33" spans="1:1" x14ac:dyDescent="0.2">
      <c r="A33" s="50" t="s">
        <v>28</v>
      </c>
    </row>
    <row r="34" spans="1:1" x14ac:dyDescent="0.2">
      <c r="A34" s="50" t="s">
        <v>29</v>
      </c>
    </row>
    <row r="35" spans="1:1" x14ac:dyDescent="0.2">
      <c r="A35" s="147" t="s">
        <v>30</v>
      </c>
    </row>
    <row r="36" spans="1:1" x14ac:dyDescent="0.2">
      <c r="A36" s="147"/>
    </row>
    <row r="54" spans="16:16" x14ac:dyDescent="0.2">
      <c r="P54" s="148"/>
    </row>
    <row r="55" spans="16:16" x14ac:dyDescent="0.2">
      <c r="P55" s="148"/>
    </row>
    <row r="56" spans="16:16" x14ac:dyDescent="0.2">
      <c r="P56" s="148"/>
    </row>
    <row r="57" spans="16:16" x14ac:dyDescent="0.2">
      <c r="P57" s="148"/>
    </row>
    <row r="58" spans="16:16" x14ac:dyDescent="0.2">
      <c r="P58" s="148"/>
    </row>
    <row r="59" spans="16:16" x14ac:dyDescent="0.2">
      <c r="P59" s="148"/>
    </row>
    <row r="60" spans="16:16" x14ac:dyDescent="0.2">
      <c r="P60" s="148"/>
    </row>
    <row r="61" spans="16:16" x14ac:dyDescent="0.2">
      <c r="P61" s="148"/>
    </row>
    <row r="62" spans="16:16" x14ac:dyDescent="0.2">
      <c r="P62" s="148"/>
    </row>
    <row r="63" spans="16:16" x14ac:dyDescent="0.2">
      <c r="P63" s="148"/>
    </row>
    <row r="64" spans="16:16" x14ac:dyDescent="0.2">
      <c r="P64" s="148"/>
    </row>
    <row r="65" spans="16:17" x14ac:dyDescent="0.2">
      <c r="P65" s="150"/>
      <c r="Q65" s="84"/>
    </row>
    <row r="66" spans="16:17" x14ac:dyDescent="0.2">
      <c r="P66" s="149"/>
      <c r="Q66" s="147"/>
    </row>
    <row r="67" spans="16:17" x14ac:dyDescent="0.2">
      <c r="P67" s="149"/>
      <c r="Q67" s="147"/>
    </row>
    <row r="68" spans="16:17" x14ac:dyDescent="0.2">
      <c r="P68" s="149"/>
      <c r="Q68" s="84"/>
    </row>
    <row r="69" spans="16:17" x14ac:dyDescent="0.2">
      <c r="P69" s="149"/>
      <c r="Q69" s="147"/>
    </row>
    <row r="70" spans="16:17" x14ac:dyDescent="0.2">
      <c r="P70" s="149"/>
      <c r="Q70" s="147"/>
    </row>
    <row r="72" spans="16:17" x14ac:dyDescent="0.2">
      <c r="P72" s="84"/>
      <c r="Q72" s="147"/>
    </row>
    <row r="74" spans="16:17" x14ac:dyDescent="0.2">
      <c r="P74" s="84"/>
      <c r="Q74" s="84"/>
    </row>
    <row r="75" spans="16:17" x14ac:dyDescent="0.2">
      <c r="P75" s="84"/>
      <c r="Q75" s="84"/>
    </row>
    <row r="76" spans="16:17" x14ac:dyDescent="0.2">
      <c r="P76" s="84"/>
      <c r="Q76" s="84"/>
    </row>
    <row r="77" spans="16:17" x14ac:dyDescent="0.2">
      <c r="P77" s="84"/>
      <c r="Q77" s="84"/>
    </row>
  </sheetData>
  <phoneticPr fontId="5" type="noConversion"/>
  <printOptions horizontalCentered="1"/>
  <pageMargins left="0" right="0" top="0.5" bottom="0.5" header="0.5" footer="0.5"/>
  <pageSetup scale="110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66"/>
  <sheetViews>
    <sheetView zoomScale="110" zoomScaleNormal="110" workbookViewId="0">
      <pane xSplit="1" topLeftCell="D1" activePane="topRight" state="frozen"/>
      <selection pane="topRight" activeCell="S12" sqref="S12"/>
    </sheetView>
  </sheetViews>
  <sheetFormatPr defaultColWidth="9.140625" defaultRowHeight="11.25" x14ac:dyDescent="0.2"/>
  <cols>
    <col min="1" max="1" width="22" style="147" customWidth="1"/>
    <col min="2" max="2" width="11" style="147" customWidth="1"/>
    <col min="3" max="3" width="9.140625" style="83" customWidth="1"/>
    <col min="4" max="4" width="9" style="83" hidden="1" customWidth="1"/>
    <col min="5" max="5" width="11.5703125" style="83" hidden="1" customWidth="1"/>
    <col min="6" max="6" width="10.140625" style="83" hidden="1" customWidth="1"/>
    <col min="7" max="7" width="11.85546875" style="83" hidden="1" customWidth="1"/>
    <col min="8" max="8" width="9.140625" style="83" hidden="1" customWidth="1"/>
    <col min="9" max="9" width="10" style="83" hidden="1" customWidth="1"/>
    <col min="10" max="10" width="10.85546875" style="147" bestFit="1" customWidth="1"/>
    <col min="11" max="11" width="10" style="147" hidden="1" customWidth="1"/>
    <col min="12" max="13" width="10" style="83" hidden="1" customWidth="1"/>
    <col min="14" max="14" width="11.85546875" style="83" hidden="1" customWidth="1"/>
    <col min="15" max="15" width="9" style="147" hidden="1" customWidth="1"/>
    <col min="16" max="16" width="10.85546875" style="147" hidden="1" customWidth="1"/>
    <col min="17" max="17" width="10.42578125" style="147" customWidth="1"/>
    <col min="18" max="22" width="9.140625" style="147" customWidth="1"/>
    <col min="23" max="16384" width="9.140625" style="147"/>
  </cols>
  <sheetData>
    <row r="1" spans="1:24" x14ac:dyDescent="0.2">
      <c r="A1" s="162" t="s">
        <v>7</v>
      </c>
      <c r="C1" s="147"/>
      <c r="D1" s="147"/>
      <c r="E1" s="147"/>
      <c r="N1" s="147"/>
    </row>
    <row r="2" spans="1:24" x14ac:dyDescent="0.2">
      <c r="C2" s="147"/>
      <c r="D2" s="147"/>
      <c r="E2" s="147"/>
      <c r="J2" s="83"/>
      <c r="K2" s="83"/>
    </row>
    <row r="3" spans="1:24" x14ac:dyDescent="0.2">
      <c r="A3" s="67" t="s">
        <v>3</v>
      </c>
      <c r="B3" s="67" t="s">
        <v>4</v>
      </c>
      <c r="C3" s="164">
        <f>'Utility Summary'!C3</f>
        <v>42917</v>
      </c>
      <c r="D3" s="164">
        <f>'Utility Summary'!D3</f>
        <v>42948</v>
      </c>
      <c r="E3" s="164">
        <f>'Utility Summary'!E3</f>
        <v>42979</v>
      </c>
      <c r="F3" s="164">
        <f>'Utility Summary'!F3</f>
        <v>43009</v>
      </c>
      <c r="G3" s="164">
        <f>'Utility Summary'!G3</f>
        <v>43040</v>
      </c>
      <c r="H3" s="164">
        <f>'Utility Summary'!H3</f>
        <v>43070</v>
      </c>
      <c r="I3" s="164">
        <f>'Utility Summary'!I3</f>
        <v>43101</v>
      </c>
      <c r="J3" s="164">
        <f>'Utility Summary'!J3</f>
        <v>43132</v>
      </c>
      <c r="K3" s="164">
        <f>'Utility Summary'!K3</f>
        <v>43160</v>
      </c>
      <c r="L3" s="164">
        <f>'Utility Summary'!L3</f>
        <v>43191</v>
      </c>
      <c r="M3" s="164">
        <f>'Utility Summary'!M3</f>
        <v>43221</v>
      </c>
      <c r="N3" s="176">
        <f>'Utility Summary'!N3</f>
        <v>43252</v>
      </c>
      <c r="O3" s="164" t="s">
        <v>1</v>
      </c>
      <c r="P3" s="110" t="s">
        <v>5</v>
      </c>
    </row>
    <row r="4" spans="1:24" s="61" customFormat="1" x14ac:dyDescent="0.2">
      <c r="A4" s="68"/>
      <c r="B4" s="69" t="s">
        <v>31</v>
      </c>
      <c r="C4" s="105">
        <v>42950</v>
      </c>
      <c r="D4" s="105">
        <v>42981</v>
      </c>
      <c r="E4" s="105">
        <v>43009</v>
      </c>
      <c r="F4" s="105">
        <v>43040</v>
      </c>
      <c r="G4" s="105">
        <v>43070</v>
      </c>
      <c r="H4" s="105">
        <v>42736</v>
      </c>
      <c r="I4" s="105">
        <v>43132</v>
      </c>
      <c r="J4" s="105">
        <v>43161</v>
      </c>
      <c r="K4" s="105">
        <v>42826</v>
      </c>
      <c r="L4" s="105">
        <v>42859</v>
      </c>
      <c r="M4" s="105">
        <v>42887</v>
      </c>
      <c r="N4" s="177">
        <v>42917</v>
      </c>
      <c r="O4" s="105"/>
      <c r="P4" s="111"/>
      <c r="Q4" s="221"/>
    </row>
    <row r="5" spans="1:24" s="66" customFormat="1" ht="22.5" x14ac:dyDescent="0.2">
      <c r="A5" s="70"/>
      <c r="B5" s="71" t="s">
        <v>32</v>
      </c>
      <c r="C5" s="223">
        <f>(126961.92+159448.01+1556.39+39787.05)/(1912930+0+266705)</f>
        <v>0.15037075932438229</v>
      </c>
      <c r="D5" s="167">
        <f>(139749+177842.04+1457.83+34522.94)/(1974066+0+231418)</f>
        <v>0.16031483792219761</v>
      </c>
      <c r="E5" s="223">
        <f>(185076.27+1457.83+134966.15+29901.04)/(2094283+0+200436)</f>
        <v>0.15313478033693884</v>
      </c>
      <c r="F5" s="167">
        <f>(149298.66+1507.11+119543.93+30874.59)/(1633178+0+206962)</f>
        <v>0.16369639810014455</v>
      </c>
      <c r="G5" s="167">
        <f>(110625.2+127231.05+1367.15+19692.82)/(1619564+0+128787)</f>
        <v>0.14809167037968921</v>
      </c>
      <c r="H5" s="167">
        <f>(119751.42+21491.19+1408.55+103923)/(1575343+140548)</f>
        <v>0.14370036325151189</v>
      </c>
      <c r="I5" s="234">
        <f>(114810.28+126949.47+14854.14+1506.62)/(1684658+97143)</f>
        <v>0.14486494844261508</v>
      </c>
      <c r="J5" s="235">
        <f>(122407.06+27007.58+107322.26+1506.62)/(1574771+0+176624)</f>
        <v>0.14745018685105302</v>
      </c>
      <c r="K5" s="167">
        <f>(93985.69+118222.48+1408.55+32135.16)/(1392504+215412)</f>
        <v>0.15283875525835924</v>
      </c>
      <c r="L5" s="167">
        <f xml:space="preserve"> (101737.28 +92666.43+ 32632.08 +74577.2)/(1107699+399808+218743)</f>
        <v>0.17472150036205647</v>
      </c>
      <c r="M5" s="167">
        <f xml:space="preserve"> (95190.12+56649.87+144861.44+39533.15)/(3593+1453945+265003)</f>
        <v>0.19519685162791481</v>
      </c>
      <c r="N5" s="220">
        <f>(102448.54 +153176.22+69411.98+39533.15)/(1537175+77431+265003)</f>
        <v>0.19396049391123368</v>
      </c>
      <c r="O5" s="167"/>
      <c r="P5" s="112"/>
      <c r="R5" s="83"/>
    </row>
    <row r="6" spans="1:24" s="83" customFormat="1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06"/>
    </row>
    <row r="7" spans="1:24" ht="22.5" x14ac:dyDescent="0.2">
      <c r="A7" s="148" t="s">
        <v>6</v>
      </c>
      <c r="B7" s="72" t="s">
        <v>33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179"/>
      <c r="O7" s="73"/>
      <c r="R7" s="83"/>
    </row>
    <row r="8" spans="1:24" x14ac:dyDescent="0.2">
      <c r="A8" s="148" t="s">
        <v>34</v>
      </c>
      <c r="B8" s="72" t="s">
        <v>35</v>
      </c>
      <c r="C8" s="73">
        <f>16542/(2976/2976)</f>
        <v>16542</v>
      </c>
      <c r="D8" s="73">
        <f>21169.5/(2975/2976)</f>
        <v>21176.61579831933</v>
      </c>
      <c r="E8" s="73">
        <f>23815.5/(2880/2880)</f>
        <v>23815.5</v>
      </c>
      <c r="F8" s="73">
        <f>22953/(2970/2976)</f>
        <v>22999.369696969698</v>
      </c>
      <c r="G8" s="73">
        <f>19692/(2879/2880)</f>
        <v>19698.839874956582</v>
      </c>
      <c r="H8" s="73">
        <f>14643/(2706/2976)</f>
        <v>16104.053215077605</v>
      </c>
      <c r="I8" s="73">
        <f>2719.5/(361/2976)</f>
        <v>22418.925207756231</v>
      </c>
      <c r="J8" s="73">
        <f>19080/(2688/2688)</f>
        <v>19080</v>
      </c>
      <c r="K8" s="73">
        <f>21226.5/(2849/2880)</f>
        <v>21457.465777465779</v>
      </c>
      <c r="L8" s="73">
        <f>19732.5/(2615/2880)</f>
        <v>21732.160611854684</v>
      </c>
      <c r="M8" s="73">
        <f>16885.5/(2797/2976)</f>
        <v>17966.123703968537</v>
      </c>
      <c r="N8" s="179">
        <f>11638.5/(2162/2880)</f>
        <v>15503.644773358003</v>
      </c>
      <c r="O8" s="73">
        <f>SUM(C8:N8)</f>
        <v>238494.69865972648</v>
      </c>
      <c r="P8" s="105"/>
      <c r="Q8" s="105"/>
      <c r="R8" s="108"/>
    </row>
    <row r="9" spans="1:24" x14ac:dyDescent="0.2">
      <c r="A9" s="148"/>
      <c r="B9" s="148" t="s">
        <v>36</v>
      </c>
      <c r="C9" s="74">
        <f>ROUND(C$5*C8,2)</f>
        <v>2487.4299999999998</v>
      </c>
      <c r="D9" s="74">
        <f>ROUND(D$5*D8,2)</f>
        <v>3394.93</v>
      </c>
      <c r="E9" s="74">
        <f t="shared" ref="E9:N9" si="0">ROUND(E$5*E8,2)</f>
        <v>3646.98</v>
      </c>
      <c r="F9" s="74">
        <f t="shared" si="0"/>
        <v>3764.91</v>
      </c>
      <c r="G9" s="74">
        <f t="shared" si="0"/>
        <v>2917.23</v>
      </c>
      <c r="H9" s="74">
        <f t="shared" si="0"/>
        <v>2314.16</v>
      </c>
      <c r="I9" s="74">
        <f t="shared" si="0"/>
        <v>3247.72</v>
      </c>
      <c r="J9" s="74">
        <f>ROUND(J$5*J8,2)</f>
        <v>2813.35</v>
      </c>
      <c r="K9" s="74">
        <f t="shared" si="0"/>
        <v>3279.53</v>
      </c>
      <c r="L9" s="74">
        <f t="shared" si="0"/>
        <v>3797.08</v>
      </c>
      <c r="M9" s="74">
        <f t="shared" si="0"/>
        <v>3506.93</v>
      </c>
      <c r="N9" s="180">
        <f t="shared" si="0"/>
        <v>3007.09</v>
      </c>
      <c r="O9" s="74">
        <f>SUM(C9:N9)</f>
        <v>38177.339999999997</v>
      </c>
      <c r="P9" s="105"/>
      <c r="Q9" s="105"/>
      <c r="R9" s="108"/>
    </row>
    <row r="10" spans="1:24" x14ac:dyDescent="0.2">
      <c r="A10" s="148"/>
      <c r="B10" s="14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180"/>
      <c r="O10" s="74"/>
      <c r="P10" s="105"/>
      <c r="Q10" s="105"/>
      <c r="R10" s="108"/>
      <c r="X10" s="211"/>
    </row>
    <row r="11" spans="1:24" ht="10.5" customHeight="1" x14ac:dyDescent="0.2">
      <c r="A11" s="148" t="s">
        <v>37</v>
      </c>
      <c r="B11" s="72" t="s">
        <v>35</v>
      </c>
      <c r="C11" s="73">
        <f>33321.927/(2256/2976)</f>
        <v>43956.584553191497</v>
      </c>
      <c r="D11" s="73">
        <f>59663.4407/(2880/2880)</f>
        <v>59663.440699999999</v>
      </c>
      <c r="E11" s="73">
        <f>59663.44/(2880/2880)</f>
        <v>59663.44</v>
      </c>
      <c r="F11" s="73">
        <f>43895.466/(2308/2976)</f>
        <v>56600.046280762566</v>
      </c>
      <c r="G11" s="73">
        <f>48963.1515636444/(2879/2880)</f>
        <v>48980.158563145495</v>
      </c>
      <c r="H11" s="73">
        <f>36282.217/(2706/2976)</f>
        <v>39902.393862527715</v>
      </c>
      <c r="I11" s="73">
        <f>7590.84/(361/2976)</f>
        <v>62577.118670360112</v>
      </c>
      <c r="J11" s="73">
        <f>52563.02458/(2688/2688)</f>
        <v>52563.024579999998</v>
      </c>
      <c r="K11" s="73">
        <f>52202.239/(2852/2880)</f>
        <v>52714.743450210379</v>
      </c>
      <c r="L11" s="73">
        <f>55774.03/(2792/2880)</f>
        <v>57531.95071633238</v>
      </c>
      <c r="M11" s="73">
        <f>39268.2/(2922/2976)</f>
        <v>39993.895687885008</v>
      </c>
      <c r="N11" s="179">
        <f>5699.155/(481/2880)</f>
        <v>34123.838669438672</v>
      </c>
      <c r="O11" s="73">
        <f>SUM(C12:N12)</f>
        <v>96913.969999999972</v>
      </c>
      <c r="P11" s="105"/>
      <c r="Q11" s="105"/>
      <c r="R11" s="108"/>
      <c r="X11" s="211"/>
    </row>
    <row r="12" spans="1:24" x14ac:dyDescent="0.2">
      <c r="A12" s="148"/>
      <c r="B12" s="148" t="s">
        <v>36</v>
      </c>
      <c r="C12" s="74">
        <f>ROUND(C$5*C11,2)</f>
        <v>6609.78</v>
      </c>
      <c r="D12" s="74">
        <f>ROUND(D$5*D11,2)</f>
        <v>9564.93</v>
      </c>
      <c r="E12" s="74">
        <f t="shared" ref="E12:N12" si="1">ROUND(E$5*E11,2)</f>
        <v>9136.5499999999993</v>
      </c>
      <c r="F12" s="74">
        <f t="shared" si="1"/>
        <v>9265.2199999999993</v>
      </c>
      <c r="G12" s="74">
        <f t="shared" si="1"/>
        <v>7253.55</v>
      </c>
      <c r="H12" s="74">
        <f t="shared" si="1"/>
        <v>5733.99</v>
      </c>
      <c r="I12" s="74">
        <f>ROUND(I$5*I11,2)</f>
        <v>9065.23</v>
      </c>
      <c r="J12" s="74">
        <f>ROUND(J$5*J11,2)</f>
        <v>7750.43</v>
      </c>
      <c r="K12" s="74">
        <f t="shared" si="1"/>
        <v>8056.86</v>
      </c>
      <c r="L12" s="74">
        <f t="shared" si="1"/>
        <v>10052.07</v>
      </c>
      <c r="M12" s="74">
        <f t="shared" si="1"/>
        <v>7806.68</v>
      </c>
      <c r="N12" s="180">
        <f t="shared" si="1"/>
        <v>6618.68</v>
      </c>
      <c r="O12" s="74">
        <f>SUM(C13:N13)</f>
        <v>0</v>
      </c>
      <c r="Q12" s="105"/>
      <c r="R12" s="108"/>
    </row>
    <row r="13" spans="1:24" x14ac:dyDescent="0.2">
      <c r="A13" s="75"/>
      <c r="B13" s="75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81"/>
      <c r="O13" s="154"/>
      <c r="P13" s="75"/>
    </row>
    <row r="14" spans="1:24" x14ac:dyDescent="0.2">
      <c r="A14" s="148" t="s">
        <v>38</v>
      </c>
      <c r="B14" s="148"/>
      <c r="C14" s="73">
        <f t="shared" ref="C14:N15" si="2">SUM(C8,C11)</f>
        <v>60498.584553191497</v>
      </c>
      <c r="D14" s="73">
        <f t="shared" si="2"/>
        <v>80840.056498319333</v>
      </c>
      <c r="E14" s="73">
        <f t="shared" si="2"/>
        <v>83478.94</v>
      </c>
      <c r="F14" s="73">
        <f t="shared" si="2"/>
        <v>79599.415977732264</v>
      </c>
      <c r="G14" s="73">
        <f t="shared" si="2"/>
        <v>68678.998438102077</v>
      </c>
      <c r="H14" s="73">
        <f t="shared" si="2"/>
        <v>56006.44707760532</v>
      </c>
      <c r="I14" s="73">
        <f>SUM(I8,I11)</f>
        <v>84996.043878116339</v>
      </c>
      <c r="J14" s="73">
        <f>SUM(J8,J11)</f>
        <v>71643.024579999998</v>
      </c>
      <c r="K14" s="73">
        <f>SUM(K8,K11)</f>
        <v>74172.209227676154</v>
      </c>
      <c r="L14" s="73">
        <f>SUM(L8,L11)</f>
        <v>79264.111328187064</v>
      </c>
      <c r="M14" s="73">
        <f>SUM(M8,M11)</f>
        <v>57960.019391853544</v>
      </c>
      <c r="N14" s="179">
        <f>SUM(N8,N11)</f>
        <v>49627.483442796671</v>
      </c>
      <c r="O14" s="73">
        <f>SUM(O8,O11)</f>
        <v>335408.66865972645</v>
      </c>
      <c r="P14" s="73">
        <f>SUM(C14:N14)</f>
        <v>846765.33439358033</v>
      </c>
    </row>
    <row r="15" spans="1:24" x14ac:dyDescent="0.2">
      <c r="A15" s="147" t="s">
        <v>39</v>
      </c>
      <c r="C15" s="226">
        <f t="shared" si="2"/>
        <v>9097.2099999999991</v>
      </c>
      <c r="D15" s="214">
        <f t="shared" si="2"/>
        <v>12959.86</v>
      </c>
      <c r="E15" s="165">
        <f t="shared" si="2"/>
        <v>12783.529999999999</v>
      </c>
      <c r="F15" s="165">
        <f t="shared" si="2"/>
        <v>13030.13</v>
      </c>
      <c r="G15" s="165">
        <f t="shared" si="2"/>
        <v>10170.780000000001</v>
      </c>
      <c r="H15" s="165">
        <f t="shared" si="2"/>
        <v>8048.15</v>
      </c>
      <c r="I15" s="165">
        <f t="shared" si="2"/>
        <v>12312.949999999999</v>
      </c>
      <c r="J15" s="165">
        <f t="shared" si="2"/>
        <v>10563.78</v>
      </c>
      <c r="K15" s="165">
        <f t="shared" si="2"/>
        <v>11336.39</v>
      </c>
      <c r="L15" s="165">
        <f t="shared" si="2"/>
        <v>13849.15</v>
      </c>
      <c r="M15" s="214">
        <f>SUM(M9,M12)</f>
        <v>11313.61</v>
      </c>
      <c r="N15" s="241">
        <f t="shared" si="2"/>
        <v>9625.77</v>
      </c>
      <c r="O15" s="214">
        <f>TRUNC(SUM(O9,O12),2)</f>
        <v>38177.339999999997</v>
      </c>
      <c r="P15" s="165">
        <f>TRUNC(SUM(C15:N15),2)</f>
        <v>135091.31</v>
      </c>
    </row>
    <row r="16" spans="1:24" x14ac:dyDescent="0.2">
      <c r="D16" s="225"/>
    </row>
    <row r="17" spans="1:14" x14ac:dyDescent="0.2">
      <c r="A17" s="50" t="s">
        <v>18</v>
      </c>
      <c r="I17" s="83" t="s">
        <v>17</v>
      </c>
      <c r="J17" s="83"/>
    </row>
    <row r="18" spans="1:14" x14ac:dyDescent="0.2">
      <c r="A18" s="50" t="s">
        <v>40</v>
      </c>
    </row>
    <row r="19" spans="1:14" x14ac:dyDescent="0.2">
      <c r="A19" s="147" t="s">
        <v>41</v>
      </c>
    </row>
    <row r="23" spans="1:14" x14ac:dyDescent="0.2">
      <c r="G23" s="147"/>
      <c r="H23" s="147"/>
      <c r="K23" s="83"/>
      <c r="L23" s="147"/>
      <c r="M23" s="147"/>
      <c r="N23" s="147"/>
    </row>
    <row r="24" spans="1:14" x14ac:dyDescent="0.2">
      <c r="J24" s="83"/>
    </row>
    <row r="66" spans="1:16" s="83" customFormat="1" x14ac:dyDescent="0.2">
      <c r="A66" s="147"/>
      <c r="B66" s="147"/>
      <c r="J66" s="147"/>
      <c r="K66" s="147"/>
      <c r="O66" s="147"/>
      <c r="P66" s="147"/>
    </row>
  </sheetData>
  <phoneticPr fontId="5" type="noConversion"/>
  <printOptions horizontalCentered="1" verticalCentered="1"/>
  <pageMargins left="0" right="0" top="0.5" bottom="0.5" header="0.5" footer="0.5"/>
  <pageSetup scale="7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R40"/>
  <sheetViews>
    <sheetView zoomScaleNormal="100" workbookViewId="0">
      <pane xSplit="1" topLeftCell="B1" activePane="topRight" state="frozen"/>
      <selection pane="topRight" activeCell="S12" sqref="S12"/>
    </sheetView>
  </sheetViews>
  <sheetFormatPr defaultColWidth="10.7109375" defaultRowHeight="12.75" x14ac:dyDescent="0.2"/>
  <cols>
    <col min="1" max="1" width="17.5703125" style="44" customWidth="1"/>
    <col min="2" max="2" width="11.28515625" style="44" customWidth="1"/>
    <col min="3" max="3" width="6.85546875" style="104" hidden="1" customWidth="1"/>
    <col min="4" max="4" width="12" style="104" hidden="1" customWidth="1"/>
    <col min="5" max="5" width="10.140625" style="138" hidden="1" customWidth="1"/>
    <col min="6" max="6" width="9.140625" style="104" hidden="1" customWidth="1"/>
    <col min="7" max="7" width="10" style="145" hidden="1" customWidth="1"/>
    <col min="8" max="8" width="7.85546875" style="104" hidden="1" customWidth="1"/>
    <col min="9" max="9" width="10" style="104" hidden="1" customWidth="1"/>
    <col min="10" max="10" width="10" style="44" customWidth="1"/>
    <col min="11" max="12" width="9.140625" style="44" hidden="1" customWidth="1"/>
    <col min="13" max="13" width="7.85546875" style="44" hidden="1" customWidth="1"/>
    <col min="14" max="14" width="10.140625" style="44" hidden="1" customWidth="1"/>
    <col min="15" max="15" width="10.42578125" style="44" hidden="1" customWidth="1"/>
    <col min="16" max="16" width="5.7109375" style="44" hidden="1" customWidth="1"/>
    <col min="17" max="17" width="10.7109375" style="44" hidden="1" customWidth="1"/>
    <col min="18" max="18" width="10.7109375" style="44" customWidth="1"/>
    <col min="19" max="16384" width="10.7109375" style="44"/>
  </cols>
  <sheetData>
    <row r="1" spans="1:17" ht="15.75" x14ac:dyDescent="0.25">
      <c r="A1" s="30" t="s">
        <v>42</v>
      </c>
      <c r="C1" s="145"/>
      <c r="D1" s="145"/>
      <c r="F1" s="145"/>
      <c r="H1" s="145"/>
      <c r="I1" s="145"/>
      <c r="Q1" s="212"/>
    </row>
    <row r="2" spans="1:17" x14ac:dyDescent="0.2">
      <c r="C2" s="44"/>
      <c r="D2" s="44"/>
      <c r="E2" s="44"/>
      <c r="F2" s="145"/>
      <c r="G2" s="44"/>
      <c r="H2" s="232"/>
      <c r="I2" s="44"/>
      <c r="J2" s="145"/>
    </row>
    <row r="3" spans="1:17" s="65" customFormat="1" ht="11.25" x14ac:dyDescent="0.2">
      <c r="A3" s="76" t="s">
        <v>3</v>
      </c>
      <c r="B3" s="7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21">
        <f>'Utility Summary'!N3</f>
        <v>43252</v>
      </c>
      <c r="O3" s="135" t="s">
        <v>1</v>
      </c>
      <c r="P3" s="110" t="s">
        <v>5</v>
      </c>
    </row>
    <row r="4" spans="1:17" s="65" customFormat="1" ht="12.75" customHeight="1" x14ac:dyDescent="0.2">
      <c r="A4" s="78"/>
      <c r="B4" s="69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73">
        <f>Electricity!G4</f>
        <v>43070</v>
      </c>
      <c r="H4" s="173">
        <f>Electricity!H4</f>
        <v>42736</v>
      </c>
      <c r="I4" s="173">
        <f>Electricity!I4</f>
        <v>43132</v>
      </c>
      <c r="J4" s="173">
        <f>Electricity!J4</f>
        <v>43161</v>
      </c>
      <c r="K4" s="173">
        <f>Electricity!K4</f>
        <v>42826</v>
      </c>
      <c r="L4" s="173">
        <f>Electricity!L4</f>
        <v>42859</v>
      </c>
      <c r="M4" s="173">
        <f>Electricity!M4</f>
        <v>42887</v>
      </c>
      <c r="N4" s="173">
        <f>Electricity!N4</f>
        <v>42917</v>
      </c>
      <c r="O4" s="128"/>
      <c r="P4" s="111"/>
    </row>
    <row r="5" spans="1:17" s="65" customFormat="1" ht="22.5" x14ac:dyDescent="0.2">
      <c r="A5" s="79"/>
      <c r="B5" s="71" t="s">
        <v>43</v>
      </c>
      <c r="C5" s="167">
        <f>16295.37/20984</f>
        <v>0.77656166603126198</v>
      </c>
      <c r="D5" s="168">
        <f>17365.53/22289</f>
        <v>0.77910763156714069</v>
      </c>
      <c r="E5" s="168">
        <f>21043.38/29492</f>
        <v>0.71352841448528415</v>
      </c>
      <c r="F5" s="172">
        <f>27676.8/37161</f>
        <v>0.74478081860014533</v>
      </c>
      <c r="G5" s="172">
        <f>42739.52/51638</f>
        <v>0.82767574267012656</v>
      </c>
      <c r="H5" s="172">
        <f>69858.14/81976</f>
        <v>0.85217795452327505</v>
      </c>
      <c r="I5" s="172">
        <f>83220.82/94904</f>
        <v>0.87689475680687856</v>
      </c>
      <c r="J5" s="172">
        <f>67910.85/74496</f>
        <v>0.91160397873711352</v>
      </c>
      <c r="K5" s="172">
        <f>49386.98/55634</f>
        <v>0.88771219038717342</v>
      </c>
      <c r="L5" s="172">
        <f>46320.12/55185</f>
        <v>0.83936069584126127</v>
      </c>
      <c r="M5" s="172">
        <f>24646.85/29498</f>
        <v>0.83554308766696039</v>
      </c>
      <c r="N5" s="172">
        <f>16078.41/18907</f>
        <v>0.85039456286031623</v>
      </c>
      <c r="O5" s="129"/>
      <c r="P5" s="112"/>
    </row>
    <row r="6" spans="1:17" s="65" customFormat="1" ht="11.25" x14ac:dyDescent="0.2">
      <c r="A6" s="76"/>
      <c r="B6" s="77"/>
      <c r="C6" s="155"/>
      <c r="D6" s="155" t="s">
        <v>149</v>
      </c>
      <c r="E6" s="110"/>
      <c r="F6" s="155"/>
      <c r="G6" s="155"/>
      <c r="H6" s="155"/>
      <c r="I6" s="155"/>
      <c r="J6" s="155"/>
      <c r="K6" s="155"/>
      <c r="L6" s="155"/>
      <c r="M6" s="155"/>
      <c r="N6" s="155"/>
      <c r="O6" s="130"/>
    </row>
    <row r="7" spans="1:17" s="65" customFormat="1" ht="24" customHeight="1" x14ac:dyDescent="0.2">
      <c r="A7" s="64" t="s">
        <v>44</v>
      </c>
      <c r="B7" s="78" t="s">
        <v>45</v>
      </c>
      <c r="C7" s="209">
        <f>56099</f>
        <v>56099</v>
      </c>
      <c r="D7" s="157">
        <v>57677</v>
      </c>
      <c r="E7" s="156">
        <v>60444</v>
      </c>
      <c r="F7" s="122">
        <v>63416</v>
      </c>
      <c r="G7" s="157">
        <v>67246</v>
      </c>
      <c r="H7" s="157">
        <v>70901</v>
      </c>
      <c r="I7" s="122">
        <v>74582</v>
      </c>
      <c r="J7" s="157">
        <v>75150</v>
      </c>
      <c r="K7" s="157">
        <v>42065</v>
      </c>
      <c r="L7" s="157">
        <v>50373</v>
      </c>
      <c r="M7" s="157">
        <v>54429</v>
      </c>
      <c r="N7" s="157">
        <v>55048</v>
      </c>
      <c r="O7" s="131"/>
      <c r="P7" s="125"/>
    </row>
    <row r="8" spans="1:17" s="65" customFormat="1" ht="22.5" x14ac:dyDescent="0.2">
      <c r="A8" s="64"/>
      <c r="B8" s="78" t="s">
        <v>46</v>
      </c>
      <c r="C8" s="157">
        <f>C7-55048</f>
        <v>1051</v>
      </c>
      <c r="D8" s="157">
        <f>D7-C7</f>
        <v>1578</v>
      </c>
      <c r="E8" s="157">
        <f>E7-D7</f>
        <v>2767</v>
      </c>
      <c r="F8" s="157">
        <f>F7-E7</f>
        <v>2972</v>
      </c>
      <c r="G8" s="157">
        <f>G7-F7</f>
        <v>3830</v>
      </c>
      <c r="H8" s="157">
        <f>H7-G7</f>
        <v>3655</v>
      </c>
      <c r="I8" s="157">
        <f t="shared" ref="I8:P8" si="0">I7-H7</f>
        <v>3681</v>
      </c>
      <c r="J8" s="157">
        <f>AVERAGE(H8,I8)</f>
        <v>3668</v>
      </c>
      <c r="K8" s="157">
        <f t="shared" si="0"/>
        <v>-33085</v>
      </c>
      <c r="L8" s="157">
        <f t="shared" si="0"/>
        <v>8308</v>
      </c>
      <c r="M8" s="157">
        <f t="shared" si="0"/>
        <v>4056</v>
      </c>
      <c r="N8" s="157">
        <f t="shared" si="0"/>
        <v>619</v>
      </c>
      <c r="O8" s="157">
        <f t="shared" si="0"/>
        <v>-55048</v>
      </c>
      <c r="P8" s="157">
        <f t="shared" si="0"/>
        <v>0</v>
      </c>
    </row>
    <row r="9" spans="1:17" s="65" customFormat="1" ht="22.5" x14ac:dyDescent="0.2">
      <c r="A9" s="64"/>
      <c r="B9" s="78" t="s">
        <v>47</v>
      </c>
      <c r="C9" s="158">
        <f>ROUND(C8*C$5,2)</f>
        <v>816.17</v>
      </c>
      <c r="D9" s="158">
        <f t="shared" ref="D9:N9" si="1">ROUND(D8*D$5,2)</f>
        <v>1229.43</v>
      </c>
      <c r="E9" s="158">
        <f t="shared" si="1"/>
        <v>1974.33</v>
      </c>
      <c r="F9" s="158">
        <f t="shared" si="1"/>
        <v>2213.4899999999998</v>
      </c>
      <c r="G9" s="158">
        <f t="shared" si="1"/>
        <v>3170</v>
      </c>
      <c r="H9" s="158">
        <f>ROUND(H8*H$5,2)</f>
        <v>3114.71</v>
      </c>
      <c r="I9" s="158">
        <f t="shared" si="1"/>
        <v>3227.85</v>
      </c>
      <c r="J9" s="158">
        <f>ROUND(J8*J$5,2)</f>
        <v>3343.76</v>
      </c>
      <c r="K9" s="158">
        <f t="shared" si="1"/>
        <v>-29369.96</v>
      </c>
      <c r="L9" s="158">
        <f t="shared" si="1"/>
        <v>6973.41</v>
      </c>
      <c r="M9" s="158">
        <f t="shared" si="1"/>
        <v>3388.96</v>
      </c>
      <c r="N9" s="158">
        <f t="shared" si="1"/>
        <v>526.39</v>
      </c>
      <c r="O9" s="133">
        <f>SUM(C9:N9)</f>
        <v>608.54000000000235</v>
      </c>
      <c r="P9" s="125"/>
    </row>
    <row r="10" spans="1:17" s="65" customFormat="1" ht="11.25" x14ac:dyDescent="0.2">
      <c r="A10" s="64"/>
      <c r="B10" s="78"/>
      <c r="C10" s="158"/>
      <c r="D10" s="158"/>
      <c r="E10" s="158"/>
      <c r="F10" s="171"/>
      <c r="G10" s="171"/>
      <c r="H10" s="171"/>
      <c r="I10" s="171"/>
      <c r="J10" s="171"/>
      <c r="K10" s="171"/>
      <c r="L10" s="171"/>
      <c r="M10" s="171"/>
      <c r="N10" s="171"/>
      <c r="O10" s="133"/>
      <c r="P10" s="125"/>
    </row>
    <row r="11" spans="1:17" s="65" customFormat="1" ht="22.5" x14ac:dyDescent="0.2">
      <c r="A11" s="215" t="s">
        <v>48</v>
      </c>
      <c r="B11" s="78" t="s">
        <v>49</v>
      </c>
      <c r="C11" s="156">
        <v>44738</v>
      </c>
      <c r="D11" s="156">
        <v>44738</v>
      </c>
      <c r="E11" s="156">
        <v>44738</v>
      </c>
      <c r="F11" s="156">
        <v>44738</v>
      </c>
      <c r="G11" s="122">
        <v>44738</v>
      </c>
      <c r="H11" s="122">
        <v>44738</v>
      </c>
      <c r="I11" s="157">
        <v>0</v>
      </c>
      <c r="J11" s="157">
        <v>731</v>
      </c>
      <c r="K11" s="122">
        <v>44738</v>
      </c>
      <c r="L11" s="122">
        <v>44738</v>
      </c>
      <c r="M11" s="122">
        <v>44738</v>
      </c>
      <c r="N11" s="122">
        <v>44738</v>
      </c>
      <c r="O11" s="131"/>
      <c r="P11" s="143"/>
      <c r="Q11" s="137"/>
    </row>
    <row r="12" spans="1:17" s="65" customFormat="1" ht="22.5" x14ac:dyDescent="0.2">
      <c r="A12" s="64"/>
      <c r="B12" s="78" t="s">
        <v>46</v>
      </c>
      <c r="C12" s="157">
        <f>(103+79)/2</f>
        <v>91</v>
      </c>
      <c r="D12" s="210">
        <f>(195+185)/2</f>
        <v>190</v>
      </c>
      <c r="E12" s="210">
        <f>(635+433)/2</f>
        <v>534</v>
      </c>
      <c r="F12" s="210">
        <f>(520+577)/2</f>
        <v>548.5</v>
      </c>
      <c r="G12" s="210">
        <f>AVERAGE(454,476)</f>
        <v>465</v>
      </c>
      <c r="H12" s="210">
        <f>AVERAGE(362,369)</f>
        <v>365.5</v>
      </c>
      <c r="I12" s="210">
        <f>AVERAGE(514,313)</f>
        <v>413.5</v>
      </c>
      <c r="J12" s="157">
        <f>J11-I11</f>
        <v>731</v>
      </c>
      <c r="K12" s="210">
        <f>(425+344)/2</f>
        <v>384.5</v>
      </c>
      <c r="L12" s="210">
        <f>(430+462)/2</f>
        <v>446</v>
      </c>
      <c r="M12" s="210">
        <f>(279+254)/2</f>
        <v>266.5</v>
      </c>
      <c r="N12" s="157">
        <v>84</v>
      </c>
      <c r="O12" s="132">
        <f>SUM(C12:N12)</f>
        <v>4519.5</v>
      </c>
      <c r="P12" s="78"/>
    </row>
    <row r="13" spans="1:17" s="63" customFormat="1" ht="22.5" x14ac:dyDescent="0.2">
      <c r="A13" s="62"/>
      <c r="B13" s="78" t="s">
        <v>47</v>
      </c>
      <c r="C13" s="158">
        <f t="shared" ref="C13" si="2">C12*C$5</f>
        <v>70.667111608844834</v>
      </c>
      <c r="D13" s="158">
        <f>ROUND(D12*D$5,2)</f>
        <v>148.03</v>
      </c>
      <c r="E13" s="158">
        <f>E12*E$5</f>
        <v>381.02417333514171</v>
      </c>
      <c r="F13" s="158">
        <f>F12*F$5</f>
        <v>408.5122790021797</v>
      </c>
      <c r="G13" s="123">
        <f>G12*G$5</f>
        <v>384.86922034160887</v>
      </c>
      <c r="H13" s="123">
        <f t="shared" ref="H13:I13" si="3">H12*H$5</f>
        <v>311.47104237825704</v>
      </c>
      <c r="I13" s="123">
        <f t="shared" si="3"/>
        <v>362.59598193964428</v>
      </c>
      <c r="J13" s="123">
        <f>J12*J$5</f>
        <v>666.38250845683001</v>
      </c>
      <c r="K13" s="123">
        <f>K12*K$5</f>
        <v>341.32533720386817</v>
      </c>
      <c r="L13" s="123">
        <f>L12*L$5</f>
        <v>374.35487034520253</v>
      </c>
      <c r="M13" s="123">
        <f>M12*M$5</f>
        <v>222.67223286324494</v>
      </c>
      <c r="N13" s="158">
        <f>N12*N$5</f>
        <v>71.433143280266563</v>
      </c>
      <c r="O13" s="133">
        <f>SUM(C13:N13)</f>
        <v>3743.3379007550884</v>
      </c>
    </row>
    <row r="14" spans="1:17" s="63" customFormat="1" x14ac:dyDescent="0.2">
      <c r="A14" s="81"/>
      <c r="B14" s="71"/>
      <c r="C14" s="159"/>
      <c r="D14" s="159"/>
      <c r="E14" s="170"/>
      <c r="F14" s="159"/>
      <c r="G14" s="159"/>
      <c r="H14" s="159"/>
      <c r="I14" s="159"/>
      <c r="J14" s="159"/>
      <c r="K14" s="159"/>
      <c r="L14" s="159"/>
      <c r="M14" s="159"/>
      <c r="N14" s="159"/>
      <c r="O14" s="134"/>
      <c r="P14" s="44"/>
    </row>
    <row r="15" spans="1:17" s="63" customFormat="1" x14ac:dyDescent="0.2">
      <c r="A15" s="147" t="s">
        <v>50</v>
      </c>
      <c r="B15" s="78"/>
      <c r="C15" s="122">
        <f>SUM(C8+C12)</f>
        <v>1142</v>
      </c>
      <c r="D15" s="122">
        <f t="shared" ref="D15:M15" si="4">SUM(D8+D12)</f>
        <v>1768</v>
      </c>
      <c r="E15" s="122">
        <f t="shared" si="4"/>
        <v>3301</v>
      </c>
      <c r="F15" s="122">
        <f t="shared" si="4"/>
        <v>3520.5</v>
      </c>
      <c r="G15" s="122">
        <f t="shared" si="4"/>
        <v>4295</v>
      </c>
      <c r="H15" s="122">
        <f t="shared" si="4"/>
        <v>4020.5</v>
      </c>
      <c r="I15" s="122">
        <f t="shared" si="4"/>
        <v>4094.5</v>
      </c>
      <c r="J15" s="122">
        <f>SUM(J8+J12)</f>
        <v>4399</v>
      </c>
      <c r="K15" s="122">
        <f t="shared" si="4"/>
        <v>-32700.5</v>
      </c>
      <c r="L15" s="122">
        <f t="shared" si="4"/>
        <v>8754</v>
      </c>
      <c r="M15" s="122">
        <f t="shared" si="4"/>
        <v>4322.5</v>
      </c>
      <c r="N15" s="122">
        <f>SUM(N8+N12)</f>
        <v>703</v>
      </c>
      <c r="O15" s="122">
        <f>SUM(O8+O12)</f>
        <v>-50528.5</v>
      </c>
      <c r="P15" s="142">
        <f>SUM(C15:N15)</f>
        <v>7619.5</v>
      </c>
    </row>
    <row r="16" spans="1:17" s="63" customFormat="1" x14ac:dyDescent="0.2">
      <c r="A16" s="147" t="s">
        <v>39</v>
      </c>
      <c r="B16" s="147"/>
      <c r="C16" s="158">
        <f>ROUND(SUM(C9+C13)*(2/24),2)</f>
        <v>73.900000000000006</v>
      </c>
      <c r="D16" s="158">
        <f>ROUND(SUM(D9+D13)*(2/24),2)</f>
        <v>114.79</v>
      </c>
      <c r="E16" s="158">
        <f t="shared" ref="E16:H16" si="5">ROUND(SUM(E9+E13)*(2/24),2)</f>
        <v>196.28</v>
      </c>
      <c r="F16" s="158">
        <f t="shared" si="5"/>
        <v>218.5</v>
      </c>
      <c r="G16" s="158">
        <f t="shared" si="5"/>
        <v>296.24</v>
      </c>
      <c r="H16" s="158">
        <f t="shared" si="5"/>
        <v>285.52</v>
      </c>
      <c r="I16" s="158">
        <f>ROUND(SUM(I9+I13)*(2/24),2)</f>
        <v>299.2</v>
      </c>
      <c r="J16" s="158">
        <f>ROUND(SUM(J9+J13)*(2/24),2)</f>
        <v>334.18</v>
      </c>
      <c r="K16" s="158">
        <f t="shared" ref="K16:P16" si="6">ROUND(SUM(K9+K13)*(2/24),2)</f>
        <v>-2419.0500000000002</v>
      </c>
      <c r="L16" s="158">
        <f t="shared" si="6"/>
        <v>612.30999999999995</v>
      </c>
      <c r="M16" s="158">
        <f t="shared" si="6"/>
        <v>300.97000000000003</v>
      </c>
      <c r="N16" s="158">
        <f t="shared" si="6"/>
        <v>49.82</v>
      </c>
      <c r="O16" s="158">
        <f t="shared" si="6"/>
        <v>362.66</v>
      </c>
      <c r="P16" s="158">
        <f t="shared" si="6"/>
        <v>0</v>
      </c>
    </row>
    <row r="17" spans="1:18" s="63" customFormat="1" x14ac:dyDescent="0.2">
      <c r="A17" s="62"/>
      <c r="B17" s="44"/>
      <c r="C17" s="122"/>
      <c r="D17" s="122"/>
      <c r="E17" s="122"/>
      <c r="F17" s="122"/>
      <c r="G17" s="122"/>
      <c r="H17" s="122"/>
      <c r="I17" s="122"/>
      <c r="K17" s="122"/>
      <c r="L17" s="122"/>
      <c r="M17" s="122"/>
      <c r="N17" s="122"/>
      <c r="O17" s="44"/>
      <c r="P17" s="44"/>
      <c r="R17" s="141"/>
    </row>
    <row r="18" spans="1:18" s="63" customFormat="1" x14ac:dyDescent="0.2">
      <c r="A18" s="44"/>
      <c r="B18" s="44"/>
      <c r="C18" s="145"/>
      <c r="D18" s="145"/>
      <c r="E18" s="126"/>
      <c r="F18" s="137"/>
      <c r="G18" s="137"/>
      <c r="H18" s="137"/>
      <c r="I18" s="137"/>
      <c r="J18" s="80"/>
      <c r="K18" s="80"/>
      <c r="L18" s="80"/>
      <c r="M18" s="80"/>
      <c r="N18" s="80"/>
      <c r="O18" s="44"/>
      <c r="P18" s="44"/>
    </row>
    <row r="19" spans="1:18" s="49" customFormat="1" x14ac:dyDescent="0.2">
      <c r="A19" s="50" t="s">
        <v>18</v>
      </c>
      <c r="B19" s="44"/>
      <c r="C19" s="145"/>
      <c r="D19" s="145"/>
      <c r="E19" s="138"/>
      <c r="F19" s="145"/>
      <c r="G19" s="145"/>
      <c r="H19" s="145"/>
      <c r="I19" s="145"/>
      <c r="J19" s="44"/>
      <c r="K19" s="44"/>
      <c r="L19" s="44"/>
      <c r="M19" s="44"/>
      <c r="N19" s="44"/>
      <c r="O19" s="44"/>
      <c r="P19" s="44"/>
      <c r="Q19" s="147"/>
      <c r="R19" s="147"/>
    </row>
    <row r="20" spans="1:18" s="49" customFormat="1" x14ac:dyDescent="0.2">
      <c r="A20" s="50" t="s">
        <v>51</v>
      </c>
      <c r="B20" s="44"/>
      <c r="C20" s="145"/>
      <c r="D20" s="145"/>
      <c r="E20" s="138"/>
      <c r="F20" s="145"/>
      <c r="G20" s="145"/>
      <c r="H20" s="145"/>
      <c r="I20" s="145"/>
      <c r="J20" s="44"/>
      <c r="K20" s="44"/>
      <c r="L20" s="44"/>
      <c r="M20" s="44"/>
      <c r="N20" s="44"/>
      <c r="O20" s="44"/>
      <c r="P20" s="44"/>
      <c r="Q20" s="147"/>
      <c r="R20" s="147"/>
    </row>
    <row r="21" spans="1:18" s="49" customFormat="1" x14ac:dyDescent="0.2">
      <c r="A21" s="50" t="s">
        <v>52</v>
      </c>
      <c r="B21" s="44"/>
      <c r="C21" s="145"/>
      <c r="D21" s="145"/>
      <c r="E21" s="138"/>
      <c r="F21" s="145"/>
      <c r="G21" s="145"/>
      <c r="H21" s="145"/>
      <c r="I21" s="145"/>
      <c r="J21" s="44"/>
      <c r="K21" s="44"/>
      <c r="L21" s="44"/>
      <c r="M21" s="44"/>
      <c r="N21" s="44"/>
      <c r="O21" s="44"/>
      <c r="P21" s="44"/>
      <c r="Q21" s="147"/>
      <c r="R21" s="147"/>
    </row>
    <row r="22" spans="1:18" s="49" customFormat="1" x14ac:dyDescent="0.2">
      <c r="A22" s="124"/>
      <c r="B22" s="145"/>
      <c r="C22" s="145"/>
      <c r="D22" s="145"/>
      <c r="E22" s="138"/>
      <c r="F22" s="145"/>
      <c r="G22" s="145"/>
      <c r="H22" s="145"/>
      <c r="I22" s="145"/>
      <c r="J22" s="44"/>
      <c r="K22" s="44"/>
      <c r="L22" s="44"/>
      <c r="M22" s="44"/>
      <c r="N22" s="44"/>
      <c r="O22" s="44"/>
      <c r="P22" s="44"/>
      <c r="Q22" s="147"/>
      <c r="R22" s="147"/>
    </row>
    <row r="23" spans="1:18" s="49" customFormat="1" x14ac:dyDescent="0.2">
      <c r="A23" s="44"/>
      <c r="B23" s="44"/>
      <c r="C23" s="117"/>
      <c r="D23" s="117"/>
      <c r="E23" s="139"/>
      <c r="F23" s="117"/>
      <c r="G23" s="117"/>
      <c r="H23" s="117"/>
      <c r="I23" s="117"/>
      <c r="J23" s="107"/>
      <c r="K23" s="107"/>
      <c r="L23" s="107"/>
      <c r="M23" s="107"/>
      <c r="N23" s="107"/>
      <c r="O23" s="44"/>
      <c r="P23" s="44"/>
      <c r="Q23" s="147"/>
      <c r="R23" s="147"/>
    </row>
    <row r="24" spans="1:18" s="49" customFormat="1" x14ac:dyDescent="0.2">
      <c r="A24" s="44"/>
      <c r="B24" s="44"/>
      <c r="C24" s="117"/>
      <c r="D24" s="117"/>
      <c r="E24" s="139"/>
      <c r="F24" s="117"/>
      <c r="G24" s="117"/>
      <c r="H24" s="117"/>
      <c r="I24" s="117"/>
      <c r="J24" s="107"/>
      <c r="K24" s="107"/>
      <c r="L24" s="107"/>
      <c r="M24" s="107"/>
      <c r="N24" s="107"/>
      <c r="O24" s="107"/>
      <c r="P24" s="44"/>
      <c r="Q24" s="147"/>
      <c r="R24" s="147"/>
    </row>
    <row r="25" spans="1:18" s="63" customFormat="1" x14ac:dyDescent="0.2">
      <c r="A25" s="44"/>
      <c r="B25" s="44"/>
      <c r="D25" s="145"/>
      <c r="E25" s="138"/>
      <c r="F25" s="145"/>
      <c r="G25" s="145"/>
      <c r="H25" s="145"/>
      <c r="I25" s="145"/>
      <c r="J25" s="44"/>
      <c r="K25" s="44"/>
      <c r="L25" s="44"/>
      <c r="M25" s="44"/>
      <c r="N25" s="44"/>
      <c r="O25" s="44"/>
      <c r="P25" s="44"/>
    </row>
    <row r="26" spans="1:18" s="63" customFormat="1" x14ac:dyDescent="0.2">
      <c r="A26" s="44"/>
      <c r="B26" s="44"/>
      <c r="C26" s="145"/>
      <c r="D26" s="145"/>
      <c r="E26" s="138"/>
      <c r="F26" s="145"/>
      <c r="G26" s="145"/>
      <c r="H26" s="145"/>
      <c r="I26" s="145"/>
      <c r="J26" s="44"/>
      <c r="K26" s="44"/>
      <c r="L26" s="44"/>
      <c r="M26" s="44"/>
      <c r="N26" s="44"/>
      <c r="O26" s="44"/>
      <c r="P26" s="44"/>
    </row>
    <row r="29" spans="1:18" hidden="1" x14ac:dyDescent="0.2">
      <c r="C29" s="145"/>
      <c r="D29" s="145"/>
      <c r="F29" s="145"/>
      <c r="H29" s="145"/>
      <c r="I29" s="145"/>
    </row>
    <row r="30" spans="1:18" hidden="1" x14ac:dyDescent="0.2">
      <c r="C30" s="145"/>
      <c r="D30" s="145"/>
      <c r="F30" s="145"/>
      <c r="H30" s="145"/>
      <c r="I30" s="145"/>
    </row>
    <row r="31" spans="1:18" hidden="1" x14ac:dyDescent="0.2">
      <c r="C31" s="145"/>
      <c r="D31" s="145"/>
      <c r="F31" s="145"/>
      <c r="H31" s="145"/>
      <c r="I31" s="145"/>
    </row>
    <row r="32" spans="1:18" hidden="1" x14ac:dyDescent="0.2">
      <c r="C32" s="145"/>
      <c r="D32" s="145"/>
      <c r="F32" s="145"/>
      <c r="H32" s="145"/>
      <c r="I32" s="145"/>
    </row>
    <row r="40" spans="3:4" x14ac:dyDescent="0.2">
      <c r="C40" s="117"/>
      <c r="D40" s="117"/>
    </row>
  </sheetData>
  <phoneticPr fontId="5" type="noConversion"/>
  <pageMargins left="0" right="0" top="0.5" bottom="0.25" header="0.5" footer="0.5"/>
  <pageSetup scale="67" orientation="landscape" r:id="rId1"/>
  <headerFooter alignWithMargins="0">
    <oddFooter>&amp;C&amp;P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S65"/>
  <sheetViews>
    <sheetView zoomScale="130" zoomScaleNormal="130" workbookViewId="0">
      <pane ySplit="5" topLeftCell="A6" activePane="bottomLeft" state="frozen"/>
      <selection activeCell="D26" activeCellId="1" sqref="I28 D26"/>
      <selection pane="bottomLeft" activeCell="Q12" sqref="Q12"/>
    </sheetView>
  </sheetViews>
  <sheetFormatPr defaultRowHeight="12.75" x14ac:dyDescent="0.2"/>
  <cols>
    <col min="1" max="1" width="16.28515625" style="49" customWidth="1"/>
    <col min="2" max="2" width="10.140625" style="49" customWidth="1"/>
    <col min="3" max="5" width="10.85546875" style="83" hidden="1" customWidth="1"/>
    <col min="6" max="6" width="9.140625" style="83" hidden="1" customWidth="1"/>
    <col min="7" max="7" width="9.42578125" style="83" hidden="1" customWidth="1"/>
    <col min="8" max="8" width="10" style="83" hidden="1" customWidth="1"/>
    <col min="9" max="9" width="8.28515625" style="83" hidden="1" customWidth="1"/>
    <col min="10" max="10" width="10.7109375" style="83" customWidth="1"/>
    <col min="11" max="11" width="8.5703125" style="83" hidden="1" customWidth="1"/>
    <col min="12" max="12" width="7.85546875" style="83" hidden="1" customWidth="1"/>
    <col min="13" max="13" width="8.7109375" style="83" hidden="1" customWidth="1"/>
    <col min="14" max="14" width="7.85546875" style="83" hidden="1" customWidth="1"/>
    <col min="15" max="15" width="9.5703125" style="127" hidden="1" customWidth="1"/>
    <col min="16" max="16" width="10.140625" hidden="1" customWidth="1"/>
    <col min="17" max="17" width="9.140625" customWidth="1"/>
  </cols>
  <sheetData>
    <row r="1" spans="1:19" ht="15.75" x14ac:dyDescent="0.25">
      <c r="A1" s="30" t="s">
        <v>53</v>
      </c>
      <c r="B1" s="147"/>
      <c r="O1" s="222"/>
      <c r="P1" s="146"/>
      <c r="Q1" s="146"/>
      <c r="R1" s="146"/>
    </row>
    <row r="2" spans="1:19" x14ac:dyDescent="0.2">
      <c r="C2" s="147"/>
      <c r="D2" s="147"/>
      <c r="E2" s="147"/>
      <c r="S2" s="146"/>
    </row>
    <row r="3" spans="1:19" x14ac:dyDescent="0.2">
      <c r="A3" s="67" t="s">
        <v>54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  <c r="Q3" s="146"/>
      <c r="R3" s="146"/>
    </row>
    <row r="4" spans="1:19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43161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  <c r="Q4" s="146"/>
      <c r="R4" s="146"/>
    </row>
    <row r="5" spans="1:19" s="82" customFormat="1" ht="22.5" x14ac:dyDescent="0.2">
      <c r="A5" s="70"/>
      <c r="B5" s="71" t="s">
        <v>55</v>
      </c>
      <c r="C5" s="161">
        <f>66973.17/(16089*748/1000)</f>
        <v>5.5650645490342319</v>
      </c>
      <c r="D5" s="161">
        <f>49796.32/(11950*748/1000)</f>
        <v>5.5709305707828962</v>
      </c>
      <c r="E5" s="161">
        <f>63844.07/(15335*748/1000)</f>
        <v>5.5658972780800973</v>
      </c>
      <c r="F5" s="161">
        <f>52265.57/(12545*748/1000)</f>
        <v>5.5698490780782768</v>
      </c>
      <c r="G5" s="161">
        <f>34179.87/(8187*748/1000)</f>
        <v>5.581411184681075</v>
      </c>
      <c r="H5" s="161">
        <f>27909.22/(6676*748/1000)</f>
        <v>5.5889441947049532</v>
      </c>
      <c r="I5" s="161">
        <f>17291.41/(4097*748/1000)</f>
        <v>5.6423866948425809</v>
      </c>
      <c r="J5" s="161">
        <f>39963.7/(9534*748/1000)</f>
        <v>5.6038815205697814</v>
      </c>
      <c r="K5" s="161">
        <f xml:space="preserve"> 27851.12/(6662*748/1000)</f>
        <v>5.5890299680364484</v>
      </c>
      <c r="L5" s="161">
        <f>30268.87/(7247*748/1000)</f>
        <v>5.5838835025963167</v>
      </c>
      <c r="M5" s="161">
        <f>48314.77/(11593*748/1000)</f>
        <v>5.5716327527537128</v>
      </c>
      <c r="N5" s="220">
        <f>32275.02/(7728*748/1000)</f>
        <v>5.5833879994685622</v>
      </c>
      <c r="O5" s="114"/>
      <c r="P5" s="112"/>
    </row>
    <row r="6" spans="1:19" x14ac:dyDescent="0.2">
      <c r="A6" s="67"/>
      <c r="B6" s="67"/>
      <c r="C6" s="88"/>
      <c r="D6" s="88"/>
      <c r="E6" s="106"/>
      <c r="F6" s="106"/>
      <c r="G6" s="106"/>
      <c r="H6" s="106"/>
      <c r="I6" s="106"/>
      <c r="J6" s="106"/>
      <c r="L6" s="106"/>
      <c r="M6" s="106"/>
      <c r="N6" s="178"/>
      <c r="O6" s="115"/>
      <c r="P6" s="146"/>
      <c r="Q6" s="146"/>
      <c r="R6" s="146"/>
    </row>
    <row r="7" spans="1:19" x14ac:dyDescent="0.2">
      <c r="A7" s="72" t="s">
        <v>56</v>
      </c>
      <c r="B7" s="72" t="s">
        <v>57</v>
      </c>
      <c r="C7" s="73"/>
      <c r="D7" s="160"/>
      <c r="E7" s="160"/>
      <c r="F7" s="160"/>
      <c r="G7" s="73"/>
      <c r="H7" s="73"/>
      <c r="I7" s="73"/>
      <c r="J7" s="73"/>
      <c r="K7" s="73"/>
      <c r="L7" s="73"/>
      <c r="M7" s="73"/>
      <c r="N7" s="179"/>
      <c r="O7" s="73"/>
      <c r="P7" s="146"/>
      <c r="Q7" s="146"/>
      <c r="R7" s="146"/>
    </row>
    <row r="8" spans="1:19" x14ac:dyDescent="0.2">
      <c r="A8" s="148" t="s">
        <v>58</v>
      </c>
      <c r="B8" s="148" t="s">
        <v>59</v>
      </c>
      <c r="C8" s="224">
        <v>176465.24</v>
      </c>
      <c r="D8" s="73">
        <v>272199.22999999858</v>
      </c>
      <c r="E8" s="73">
        <v>694331.92</v>
      </c>
      <c r="F8" s="160">
        <v>288043.80000000075</v>
      </c>
      <c r="G8" s="73">
        <v>252505.30000000075</v>
      </c>
      <c r="H8" s="73">
        <v>149648.59999999776</v>
      </c>
      <c r="I8" s="137">
        <v>176714</v>
      </c>
      <c r="J8" s="73">
        <v>308459</v>
      </c>
      <c r="K8" s="213">
        <v>285252.59999999963</v>
      </c>
      <c r="L8" s="73">
        <v>615593.69999999995</v>
      </c>
      <c r="M8" s="73">
        <v>405928.91000000015</v>
      </c>
      <c r="N8" s="179">
        <v>121661.9</v>
      </c>
      <c r="O8" s="73">
        <f>SUM(C8:N8)</f>
        <v>3746804.1999999979</v>
      </c>
      <c r="P8" s="146"/>
      <c r="Q8" s="146"/>
      <c r="R8" s="146"/>
    </row>
    <row r="9" spans="1:19" x14ac:dyDescent="0.2">
      <c r="A9" s="148" t="s">
        <v>60</v>
      </c>
      <c r="B9" s="148" t="s">
        <v>36</v>
      </c>
      <c r="C9" s="74">
        <f>ROUND(C$5*C8/1000,2)</f>
        <v>982.04</v>
      </c>
      <c r="D9" s="74">
        <f t="shared" ref="D9:L9" si="0">ROUND(D$5*D8/1000,2)</f>
        <v>1516.4</v>
      </c>
      <c r="E9" s="74">
        <f t="shared" si="0"/>
        <v>3864.58</v>
      </c>
      <c r="F9" s="74">
        <f t="shared" si="0"/>
        <v>1604.36</v>
      </c>
      <c r="G9" s="74">
        <f t="shared" si="0"/>
        <v>1409.34</v>
      </c>
      <c r="H9" s="74">
        <f t="shared" si="0"/>
        <v>836.38</v>
      </c>
      <c r="I9" s="74">
        <f t="shared" si="0"/>
        <v>997.09</v>
      </c>
      <c r="J9" s="74">
        <f>ROUND(J$5*J8/1000,2)</f>
        <v>1728.57</v>
      </c>
      <c r="K9" s="74">
        <f t="shared" si="0"/>
        <v>1594.29</v>
      </c>
      <c r="L9" s="74">
        <f t="shared" si="0"/>
        <v>3437.4</v>
      </c>
      <c r="M9" s="74">
        <f>ROUND(M$5*M8/1000,2)</f>
        <v>2261.69</v>
      </c>
      <c r="N9" s="180">
        <f t="shared" ref="N9" si="1">ROUND(N$5*N8/1000,2)</f>
        <v>679.29</v>
      </c>
      <c r="O9" s="74">
        <f>SUM(C9:N9)</f>
        <v>20911.43</v>
      </c>
      <c r="P9" s="146"/>
      <c r="Q9" s="146"/>
      <c r="R9" s="146"/>
    </row>
    <row r="10" spans="1:19" x14ac:dyDescent="0.2">
      <c r="A10" s="148"/>
      <c r="B10" s="148"/>
      <c r="C10" s="175"/>
      <c r="D10" s="175"/>
      <c r="E10" s="88"/>
      <c r="F10" s="88"/>
      <c r="G10" s="88"/>
      <c r="H10" s="88"/>
      <c r="I10" s="88"/>
      <c r="J10" s="88"/>
      <c r="K10" s="88"/>
      <c r="L10" s="88"/>
      <c r="M10" s="88"/>
      <c r="N10" s="184"/>
      <c r="O10" s="88"/>
      <c r="P10" s="147"/>
      <c r="Q10" s="146"/>
      <c r="R10" s="146"/>
    </row>
    <row r="11" spans="1:19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46"/>
      <c r="Q11" s="146"/>
      <c r="R11" s="146"/>
    </row>
    <row r="12" spans="1:19" x14ac:dyDescent="0.2">
      <c r="A12" s="147" t="s">
        <v>61</v>
      </c>
      <c r="B12" s="78"/>
      <c r="C12" s="137">
        <f>SUM(C8)</f>
        <v>176465.24</v>
      </c>
      <c r="D12" s="137">
        <f t="shared" ref="D12:H12" si="2">SUM(D8)</f>
        <v>272199.22999999858</v>
      </c>
      <c r="E12" s="137">
        <f t="shared" si="2"/>
        <v>694331.92</v>
      </c>
      <c r="F12" s="137">
        <f t="shared" si="2"/>
        <v>288043.80000000075</v>
      </c>
      <c r="G12" s="137">
        <f t="shared" si="2"/>
        <v>252505.30000000075</v>
      </c>
      <c r="H12" s="137">
        <f t="shared" si="2"/>
        <v>149648.59999999776</v>
      </c>
      <c r="I12" s="137">
        <f t="shared" ref="I12:J12" si="3">SUM(I8)</f>
        <v>176714</v>
      </c>
      <c r="J12" s="137">
        <f t="shared" si="3"/>
        <v>308459</v>
      </c>
      <c r="K12" s="137">
        <f>SUM(K8)</f>
        <v>285252.59999999963</v>
      </c>
      <c r="L12" s="137">
        <f t="shared" ref="L12:M13" si="4">SUM(L8)</f>
        <v>615593.69999999995</v>
      </c>
      <c r="M12" s="137">
        <f>SUM(M8)</f>
        <v>405928.91000000015</v>
      </c>
      <c r="N12" s="186">
        <f t="shared" ref="N12:N13" si="5">SUM(N8)</f>
        <v>121661.9</v>
      </c>
      <c r="O12" s="137">
        <f>SUM(O8)</f>
        <v>3746804.1999999979</v>
      </c>
      <c r="P12" s="137">
        <f>SUM(C12:N12)</f>
        <v>3746804.1999999979</v>
      </c>
      <c r="Q12" s="146"/>
      <c r="R12" s="166"/>
    </row>
    <row r="13" spans="1:19" x14ac:dyDescent="0.2">
      <c r="A13" s="147" t="s">
        <v>39</v>
      </c>
      <c r="B13" s="147"/>
      <c r="C13" s="74">
        <f>SUM(C9)</f>
        <v>982.04</v>
      </c>
      <c r="D13" s="74">
        <f t="shared" ref="D13:K13" si="6">SUM(D9)</f>
        <v>1516.4</v>
      </c>
      <c r="E13" s="74">
        <f t="shared" si="6"/>
        <v>3864.58</v>
      </c>
      <c r="F13" s="74">
        <f t="shared" si="6"/>
        <v>1604.36</v>
      </c>
      <c r="G13" s="74">
        <f t="shared" si="6"/>
        <v>1409.34</v>
      </c>
      <c r="H13" s="74">
        <f t="shared" si="6"/>
        <v>836.38</v>
      </c>
      <c r="I13" s="74">
        <f>SUM(I9)</f>
        <v>997.09</v>
      </c>
      <c r="J13" s="74">
        <f t="shared" si="6"/>
        <v>1728.57</v>
      </c>
      <c r="K13" s="74">
        <f>SUM(K9)</f>
        <v>1594.29</v>
      </c>
      <c r="L13" s="74">
        <f t="shared" si="4"/>
        <v>3437.4</v>
      </c>
      <c r="M13" s="74">
        <f t="shared" si="4"/>
        <v>2261.69</v>
      </c>
      <c r="N13" s="74">
        <f t="shared" si="5"/>
        <v>679.29</v>
      </c>
      <c r="O13" s="74">
        <f>SUM(O9)</f>
        <v>20911.43</v>
      </c>
      <c r="P13" s="74">
        <f>SUM(C13:N13)</f>
        <v>20911.43</v>
      </c>
      <c r="Q13" s="146"/>
      <c r="R13" s="146"/>
    </row>
    <row r="15" spans="1:19" x14ac:dyDescent="0.2">
      <c r="A15" s="8" t="s">
        <v>18</v>
      </c>
      <c r="B15" s="147"/>
      <c r="P15" s="146"/>
      <c r="Q15" s="146"/>
      <c r="R15" s="146"/>
    </row>
    <row r="16" spans="1:19" x14ac:dyDescent="0.2">
      <c r="A16" s="8" t="s">
        <v>62</v>
      </c>
      <c r="B16" s="147"/>
      <c r="P16" s="146"/>
      <c r="Q16" s="146"/>
      <c r="R16" s="146"/>
    </row>
    <row r="17" spans="1:2" x14ac:dyDescent="0.2">
      <c r="A17" s="45" t="s">
        <v>63</v>
      </c>
      <c r="B17" s="147"/>
    </row>
    <row r="18" spans="1:2" x14ac:dyDescent="0.2">
      <c r="A18" s="45" t="s">
        <v>23</v>
      </c>
      <c r="B18" s="147"/>
    </row>
    <row r="19" spans="1:2" x14ac:dyDescent="0.2">
      <c r="A19" s="45" t="s">
        <v>24</v>
      </c>
      <c r="B19" s="147"/>
    </row>
    <row r="20" spans="1:2" x14ac:dyDescent="0.2">
      <c r="A20" s="83" t="s">
        <v>64</v>
      </c>
      <c r="B20" s="83"/>
    </row>
    <row r="53" spans="1:17" s="49" customFormat="1" x14ac:dyDescent="0.2">
      <c r="A53" s="147"/>
      <c r="B53" s="147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27"/>
      <c r="P53" s="146"/>
      <c r="Q53" s="147"/>
    </row>
    <row r="54" spans="1:17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127"/>
      <c r="P54" s="146"/>
      <c r="Q54" s="147"/>
    </row>
    <row r="55" spans="1:17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127"/>
      <c r="P55" s="146"/>
      <c r="Q55" s="147"/>
    </row>
    <row r="56" spans="1:17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127"/>
      <c r="P56" s="146"/>
      <c r="Q56" s="147"/>
    </row>
    <row r="57" spans="1:17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127"/>
      <c r="P57" s="146"/>
      <c r="Q57" s="147"/>
    </row>
    <row r="58" spans="1:17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127"/>
      <c r="P58" s="146"/>
      <c r="Q58" s="147"/>
    </row>
    <row r="59" spans="1:17" s="49" customFormat="1" x14ac:dyDescent="0.2">
      <c r="A59" s="147"/>
      <c r="B59" s="147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127"/>
      <c r="P59" s="146"/>
      <c r="Q59" s="147"/>
    </row>
    <row r="60" spans="1:17" s="49" customFormat="1" x14ac:dyDescent="0.2">
      <c r="A60" s="147"/>
      <c r="B60" s="147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127"/>
      <c r="P60" s="146"/>
      <c r="Q60" s="147"/>
    </row>
    <row r="61" spans="1:17" s="49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127"/>
      <c r="P61" s="146"/>
      <c r="Q61" s="147"/>
    </row>
    <row r="62" spans="1:17" s="49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127"/>
      <c r="P62" s="146"/>
      <c r="Q62" s="147"/>
    </row>
    <row r="64" spans="1:17" s="63" customFormat="1" x14ac:dyDescent="0.2">
      <c r="A64" s="147"/>
      <c r="B64" s="147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127"/>
      <c r="P64" s="146"/>
      <c r="Q64" s="119"/>
    </row>
    <row r="65" spans="1:16" s="44" customFormat="1" x14ac:dyDescent="0.2">
      <c r="A65" s="147"/>
      <c r="B65" s="147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127"/>
      <c r="P65" s="146"/>
    </row>
  </sheetData>
  <phoneticPr fontId="5" type="noConversion"/>
  <printOptions horizontalCentered="1" verticalCentered="1"/>
  <pageMargins left="0" right="0" top="0.5" bottom="0.5" header="0.5" footer="0.5"/>
  <pageSetup scale="7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85" customWidth="1"/>
    <col min="2" max="2" width="13.42578125" style="85" bestFit="1" customWidth="1"/>
    <col min="3" max="4" width="8.7109375" style="85" customWidth="1"/>
    <col min="5" max="5" width="20.7109375" style="85" customWidth="1"/>
    <col min="6" max="7" width="9.140625" style="85"/>
    <col min="8" max="8" width="18.28515625" style="85" customWidth="1"/>
    <col min="9" max="16384" width="9.140625" style="85"/>
  </cols>
  <sheetData>
    <row r="1" spans="1:9" ht="15.75" x14ac:dyDescent="0.2">
      <c r="A1" s="99" t="s">
        <v>3</v>
      </c>
      <c r="B1" s="99" t="s">
        <v>7</v>
      </c>
      <c r="E1" s="100" t="s">
        <v>42</v>
      </c>
      <c r="H1" s="100" t="s">
        <v>65</v>
      </c>
    </row>
    <row r="2" spans="1:9" ht="12.75" customHeight="1" x14ac:dyDescent="0.2">
      <c r="B2" s="99"/>
      <c r="E2" s="100"/>
    </row>
    <row r="3" spans="1:9" s="94" customFormat="1" ht="12.75" customHeight="1" x14ac:dyDescent="0.2">
      <c r="C3" s="95"/>
      <c r="D3" s="95"/>
      <c r="I3" s="96"/>
    </row>
    <row r="4" spans="1:9" s="90" customFormat="1" ht="22.5" customHeight="1" x14ac:dyDescent="0.2">
      <c r="B4" s="91" t="s">
        <v>31</v>
      </c>
      <c r="C4" s="97">
        <v>39177</v>
      </c>
      <c r="E4" s="91" t="s">
        <v>31</v>
      </c>
      <c r="F4" s="97">
        <v>39177</v>
      </c>
      <c r="H4" s="92" t="s">
        <v>31</v>
      </c>
      <c r="I4" s="98">
        <v>39177</v>
      </c>
    </row>
    <row r="5" spans="1:9" s="93" customFormat="1" ht="12.75" customHeight="1" x14ac:dyDescent="0.2">
      <c r="A5" s="94"/>
      <c r="B5" s="92"/>
      <c r="C5" s="101"/>
      <c r="D5" s="101"/>
      <c r="E5" s="92"/>
      <c r="F5" s="94"/>
      <c r="G5" s="94"/>
      <c r="H5" s="92"/>
      <c r="I5" s="102"/>
    </row>
    <row r="6" spans="1:9" s="93" customFormat="1" ht="12.75" customHeight="1" x14ac:dyDescent="0.2">
      <c r="A6" s="94"/>
      <c r="B6" s="94"/>
      <c r="C6" s="94"/>
      <c r="D6" s="94"/>
      <c r="E6" s="94"/>
      <c r="F6" s="94"/>
      <c r="G6" s="94"/>
      <c r="H6" s="94"/>
      <c r="I6" s="189"/>
    </row>
    <row r="7" spans="1:9" s="93" customFormat="1" ht="21" customHeight="1" x14ac:dyDescent="0.2">
      <c r="A7" s="94" t="s">
        <v>66</v>
      </c>
      <c r="B7" s="92" t="s">
        <v>33</v>
      </c>
      <c r="C7" s="190">
        <v>397812</v>
      </c>
      <c r="D7" s="191"/>
      <c r="E7" s="92" t="s">
        <v>67</v>
      </c>
      <c r="F7" s="190">
        <v>1893</v>
      </c>
      <c r="G7" s="94"/>
      <c r="H7" s="92" t="s">
        <v>57</v>
      </c>
      <c r="I7" s="192">
        <v>652198</v>
      </c>
    </row>
    <row r="8" spans="1:9" s="93" customFormat="1" ht="12.75" customHeight="1" x14ac:dyDescent="0.2">
      <c r="A8" s="94"/>
      <c r="B8" s="92"/>
      <c r="C8" s="191"/>
      <c r="D8" s="191"/>
      <c r="E8" s="92"/>
      <c r="F8" s="191"/>
      <c r="G8" s="94"/>
      <c r="H8" s="92"/>
      <c r="I8" s="191"/>
    </row>
    <row r="9" spans="1:9" s="93" customFormat="1" ht="12.75" customHeight="1" x14ac:dyDescent="0.2">
      <c r="A9" s="94"/>
      <c r="B9" s="92"/>
      <c r="C9" s="191"/>
      <c r="D9" s="191"/>
      <c r="E9" s="92"/>
      <c r="F9" s="191"/>
      <c r="G9" s="94"/>
      <c r="H9" s="92"/>
      <c r="I9" s="191"/>
    </row>
    <row r="10" spans="1:9" s="93" customFormat="1" ht="12.75" customHeight="1" x14ac:dyDescent="0.2">
      <c r="A10" s="94"/>
      <c r="B10" s="94"/>
      <c r="C10" s="193"/>
      <c r="D10" s="193"/>
      <c r="E10" s="92"/>
      <c r="F10" s="193"/>
      <c r="G10" s="94"/>
      <c r="H10" s="92"/>
      <c r="I10" s="193"/>
    </row>
    <row r="11" spans="1:9" s="93" customFormat="1" ht="21" customHeight="1" x14ac:dyDescent="0.2">
      <c r="A11" s="94" t="s">
        <v>68</v>
      </c>
      <c r="B11" s="92" t="s">
        <v>33</v>
      </c>
      <c r="C11" s="190">
        <v>191212</v>
      </c>
      <c r="D11" s="191"/>
      <c r="E11" s="92" t="s">
        <v>67</v>
      </c>
      <c r="F11" s="190">
        <v>4741</v>
      </c>
      <c r="G11" s="94"/>
      <c r="H11" s="92" t="s">
        <v>57</v>
      </c>
      <c r="I11" s="192">
        <v>1221637</v>
      </c>
    </row>
    <row r="12" spans="1:9" s="93" customFormat="1" ht="12.75" customHeight="1" x14ac:dyDescent="0.2">
      <c r="A12" s="94"/>
      <c r="B12" s="92"/>
      <c r="C12" s="191"/>
      <c r="D12" s="191"/>
      <c r="E12" s="92"/>
      <c r="F12" s="191"/>
      <c r="G12" s="94"/>
      <c r="H12" s="92"/>
      <c r="I12" s="194"/>
    </row>
    <row r="13" spans="1:9" s="93" customFormat="1" ht="12.75" customHeight="1" x14ac:dyDescent="0.2">
      <c r="A13" s="94"/>
      <c r="B13" s="92"/>
      <c r="C13" s="191"/>
      <c r="D13" s="191"/>
      <c r="E13" s="92"/>
      <c r="F13" s="191"/>
      <c r="G13" s="94"/>
      <c r="H13" s="92"/>
      <c r="I13" s="194"/>
    </row>
    <row r="14" spans="1:9" s="93" customFormat="1" ht="12.75" customHeight="1" x14ac:dyDescent="0.2">
      <c r="A14" s="94"/>
      <c r="B14" s="94"/>
      <c r="C14" s="193"/>
      <c r="D14" s="193"/>
      <c r="E14" s="92"/>
      <c r="F14" s="193"/>
      <c r="G14" s="94"/>
      <c r="H14" s="92"/>
      <c r="I14" s="193"/>
    </row>
    <row r="15" spans="1:9" s="93" customFormat="1" ht="21" customHeight="1" x14ac:dyDescent="0.2">
      <c r="A15" s="94" t="s">
        <v>69</v>
      </c>
      <c r="B15" s="92" t="s">
        <v>33</v>
      </c>
      <c r="C15" s="192">
        <v>91887</v>
      </c>
      <c r="D15" s="191"/>
      <c r="E15" s="94"/>
      <c r="F15" s="191"/>
      <c r="G15" s="94"/>
      <c r="H15" s="92" t="s">
        <v>57</v>
      </c>
      <c r="I15" s="192">
        <v>660331</v>
      </c>
    </row>
    <row r="16" spans="1:9" s="93" customFormat="1" ht="12.75" customHeight="1" x14ac:dyDescent="0.2">
      <c r="A16" s="94"/>
      <c r="B16" s="92"/>
      <c r="C16" s="191"/>
      <c r="D16" s="191"/>
      <c r="E16" s="94"/>
      <c r="F16" s="191"/>
      <c r="G16" s="94"/>
      <c r="H16" s="92"/>
      <c r="I16" s="191"/>
    </row>
    <row r="17" spans="1:9" s="93" customFormat="1" ht="12.75" customHeight="1" x14ac:dyDescent="0.2">
      <c r="A17" s="94"/>
      <c r="B17" s="92"/>
      <c r="C17" s="191"/>
      <c r="D17" s="191"/>
      <c r="E17" s="94"/>
      <c r="F17" s="191"/>
      <c r="G17" s="94"/>
      <c r="H17" s="92"/>
      <c r="I17" s="191"/>
    </row>
    <row r="18" spans="1:9" s="93" customFormat="1" ht="12.75" customHeight="1" x14ac:dyDescent="0.2">
      <c r="A18" s="94"/>
      <c r="B18" s="94"/>
      <c r="C18" s="193"/>
      <c r="D18" s="193"/>
      <c r="E18" s="94"/>
      <c r="F18" s="193"/>
      <c r="G18" s="94"/>
      <c r="H18" s="94"/>
      <c r="I18" s="193"/>
    </row>
    <row r="19" spans="1:9" s="93" customFormat="1" ht="21" customHeight="1" x14ac:dyDescent="0.2">
      <c r="A19" s="94" t="s">
        <v>70</v>
      </c>
      <c r="B19" s="92" t="s">
        <v>33</v>
      </c>
      <c r="C19" s="190">
        <v>20160</v>
      </c>
      <c r="D19" s="191"/>
      <c r="E19" s="94"/>
      <c r="F19" s="191"/>
      <c r="G19" s="94"/>
      <c r="H19" s="92" t="s">
        <v>57</v>
      </c>
      <c r="I19" s="192">
        <v>990145</v>
      </c>
    </row>
    <row r="20" spans="1:9" s="93" customFormat="1" ht="12.75" customHeight="1" x14ac:dyDescent="0.2">
      <c r="A20" s="94"/>
      <c r="B20" s="92"/>
      <c r="C20" s="191"/>
      <c r="D20" s="191"/>
      <c r="E20" s="94"/>
      <c r="F20" s="191"/>
      <c r="G20" s="94"/>
      <c r="H20" s="92"/>
      <c r="I20" s="191"/>
    </row>
    <row r="21" spans="1:9" s="93" customFormat="1" ht="12.75" customHeight="1" x14ac:dyDescent="0.2">
      <c r="A21" s="94"/>
      <c r="B21" s="92"/>
      <c r="C21" s="191"/>
      <c r="D21" s="191"/>
      <c r="E21" s="94"/>
      <c r="F21" s="191"/>
      <c r="G21" s="94"/>
      <c r="H21" s="92"/>
      <c r="I21" s="191"/>
    </row>
    <row r="22" spans="1:9" s="93" customFormat="1" ht="12.75" customHeight="1" x14ac:dyDescent="0.2">
      <c r="A22" s="94"/>
      <c r="B22" s="94"/>
      <c r="C22" s="193"/>
      <c r="D22" s="193"/>
      <c r="E22" s="94"/>
      <c r="F22" s="193"/>
      <c r="G22" s="94"/>
      <c r="H22" s="94"/>
      <c r="I22" s="193"/>
    </row>
    <row r="23" spans="1:9" s="93" customFormat="1" ht="21" customHeight="1" x14ac:dyDescent="0.2">
      <c r="A23" s="94" t="s">
        <v>71</v>
      </c>
      <c r="B23" s="92" t="s">
        <v>33</v>
      </c>
      <c r="C23" s="190">
        <v>288887</v>
      </c>
      <c r="D23" s="191"/>
      <c r="E23" s="94"/>
      <c r="F23" s="191"/>
      <c r="G23" s="94"/>
      <c r="H23" s="94"/>
      <c r="I23" s="191"/>
    </row>
    <row r="24" spans="1:9" s="93" customFormat="1" ht="12.75" customHeight="1" x14ac:dyDescent="0.2">
      <c r="A24" s="94"/>
      <c r="B24" s="92"/>
      <c r="C24" s="191"/>
      <c r="D24" s="191"/>
      <c r="E24" s="94"/>
      <c r="F24" s="191"/>
      <c r="G24" s="94"/>
      <c r="H24" s="94"/>
      <c r="I24" s="193"/>
    </row>
    <row r="25" spans="1:9" s="93" customFormat="1" ht="12.75" customHeight="1" x14ac:dyDescent="0.2">
      <c r="A25" s="94"/>
      <c r="B25" s="92"/>
      <c r="C25" s="191"/>
      <c r="D25" s="191"/>
      <c r="E25" s="94"/>
      <c r="F25" s="191"/>
      <c r="G25" s="94"/>
      <c r="H25" s="94"/>
      <c r="I25" s="193"/>
    </row>
    <row r="26" spans="1:9" s="93" customFormat="1" ht="12.75" customHeight="1" x14ac:dyDescent="0.2">
      <c r="A26" s="94"/>
      <c r="B26" s="94"/>
      <c r="C26" s="193"/>
      <c r="D26" s="193"/>
      <c r="E26" s="94"/>
      <c r="F26" s="193"/>
      <c r="G26" s="94"/>
      <c r="H26" s="94"/>
      <c r="I26" s="94"/>
    </row>
    <row r="27" spans="1:9" s="93" customFormat="1" ht="21" customHeight="1" x14ac:dyDescent="0.2">
      <c r="A27" s="94" t="s">
        <v>72</v>
      </c>
      <c r="B27" s="92" t="s">
        <v>33</v>
      </c>
      <c r="C27" s="190">
        <v>24605</v>
      </c>
      <c r="D27" s="191"/>
      <c r="E27" s="94"/>
      <c r="F27" s="191"/>
      <c r="G27" s="94"/>
      <c r="H27" s="94"/>
      <c r="I27" s="191"/>
    </row>
    <row r="28" spans="1:9" s="93" customFormat="1" ht="12.75" customHeight="1" x14ac:dyDescent="0.2">
      <c r="A28" s="94"/>
      <c r="B28" s="92"/>
      <c r="C28" s="191"/>
      <c r="D28" s="191"/>
      <c r="E28" s="94"/>
      <c r="F28" s="191"/>
      <c r="G28" s="94"/>
      <c r="H28" s="94"/>
      <c r="I28" s="193"/>
    </row>
    <row r="29" spans="1:9" s="93" customFormat="1" ht="12.75" customHeight="1" x14ac:dyDescent="0.2">
      <c r="A29" s="94"/>
      <c r="B29" s="92"/>
      <c r="C29" s="191"/>
      <c r="D29" s="191"/>
      <c r="E29" s="94"/>
      <c r="F29" s="191"/>
      <c r="G29" s="94"/>
      <c r="H29" s="94"/>
      <c r="I29" s="193"/>
    </row>
    <row r="30" spans="1:9" s="93" customFormat="1" ht="12.75" customHeight="1" x14ac:dyDescent="0.2">
      <c r="A30" s="94"/>
      <c r="B30" s="94"/>
      <c r="C30" s="193"/>
      <c r="D30" s="193"/>
      <c r="E30" s="94"/>
      <c r="F30" s="193"/>
      <c r="G30" s="94"/>
      <c r="H30" s="94"/>
      <c r="I30" s="94"/>
    </row>
    <row r="31" spans="1:9" s="93" customFormat="1" ht="21" customHeight="1" x14ac:dyDescent="0.2">
      <c r="A31" s="94" t="s">
        <v>73</v>
      </c>
      <c r="B31" s="92" t="s">
        <v>33</v>
      </c>
      <c r="C31" s="190">
        <v>45273</v>
      </c>
      <c r="D31" s="191"/>
      <c r="E31" s="94"/>
      <c r="F31" s="191"/>
      <c r="G31" s="94"/>
      <c r="H31" s="94"/>
      <c r="I31" s="191"/>
    </row>
    <row r="32" spans="1:9" s="93" customFormat="1" ht="12.75" customHeight="1" x14ac:dyDescent="0.2">
      <c r="A32" s="94"/>
      <c r="B32" s="92"/>
      <c r="C32" s="191"/>
      <c r="D32" s="191"/>
      <c r="E32" s="94"/>
      <c r="F32" s="191"/>
      <c r="G32" s="94"/>
      <c r="H32" s="94"/>
      <c r="I32" s="193"/>
    </row>
    <row r="33" spans="1:9" s="93" customFormat="1" ht="12.75" customHeight="1" x14ac:dyDescent="0.2">
      <c r="A33" s="94"/>
      <c r="B33" s="92"/>
      <c r="C33" s="191"/>
      <c r="D33" s="191"/>
      <c r="E33" s="94"/>
      <c r="F33" s="191"/>
      <c r="G33" s="94"/>
      <c r="H33" s="94"/>
      <c r="I33" s="193"/>
    </row>
    <row r="34" spans="1:9" s="93" customFormat="1" ht="12.75" customHeight="1" x14ac:dyDescent="0.2">
      <c r="A34" s="94"/>
      <c r="B34" s="94"/>
      <c r="C34" s="193"/>
      <c r="D34" s="193"/>
      <c r="E34" s="94"/>
      <c r="F34" s="193"/>
      <c r="G34" s="94"/>
      <c r="H34" s="94"/>
      <c r="I34" s="94"/>
    </row>
    <row r="35" spans="1:9" s="93" customFormat="1" ht="21" customHeight="1" x14ac:dyDescent="0.2">
      <c r="A35" s="94" t="s">
        <v>74</v>
      </c>
      <c r="B35" s="92" t="s">
        <v>33</v>
      </c>
      <c r="C35" s="190">
        <v>39799</v>
      </c>
      <c r="D35" s="191"/>
      <c r="E35" s="94"/>
      <c r="F35" s="191"/>
      <c r="G35" s="94"/>
      <c r="H35" s="94"/>
      <c r="I35" s="191"/>
    </row>
    <row r="36" spans="1:9" s="93" customFormat="1" ht="12.75" customHeight="1" x14ac:dyDescent="0.2">
      <c r="A36" s="94"/>
      <c r="B36" s="92"/>
      <c r="C36" s="191"/>
      <c r="D36" s="191"/>
      <c r="E36" s="94"/>
      <c r="F36" s="191"/>
      <c r="G36" s="94"/>
      <c r="H36" s="94"/>
      <c r="I36" s="193"/>
    </row>
    <row r="37" spans="1:9" s="93" customFormat="1" ht="12.75" customHeight="1" x14ac:dyDescent="0.2">
      <c r="A37" s="94"/>
      <c r="B37" s="92"/>
      <c r="C37" s="191"/>
      <c r="D37" s="191"/>
      <c r="E37" s="94"/>
      <c r="F37" s="191"/>
      <c r="G37" s="94"/>
      <c r="H37" s="94"/>
      <c r="I37" s="193"/>
    </row>
    <row r="38" spans="1:9" s="93" customFormat="1" ht="12.75" customHeight="1" x14ac:dyDescent="0.2">
      <c r="A38" s="94"/>
      <c r="B38" s="94"/>
      <c r="C38" s="193"/>
      <c r="D38" s="193"/>
      <c r="E38" s="94"/>
      <c r="F38" s="193"/>
      <c r="G38" s="94"/>
      <c r="H38" s="94"/>
      <c r="I38" s="189"/>
    </row>
    <row r="39" spans="1:9" s="93" customFormat="1" ht="21" customHeight="1" x14ac:dyDescent="0.2">
      <c r="A39" s="94" t="s">
        <v>75</v>
      </c>
      <c r="B39" s="92" t="s">
        <v>33</v>
      </c>
      <c r="C39" s="190">
        <v>60674</v>
      </c>
      <c r="D39" s="191"/>
      <c r="E39" s="94"/>
      <c r="F39" s="191"/>
      <c r="G39" s="94"/>
      <c r="H39" s="92" t="s">
        <v>57</v>
      </c>
      <c r="I39" s="192">
        <v>329898</v>
      </c>
    </row>
    <row r="40" spans="1:9" s="93" customFormat="1" ht="12.75" customHeight="1" x14ac:dyDescent="0.2">
      <c r="A40" s="94"/>
      <c r="B40" s="92"/>
      <c r="C40" s="191"/>
      <c r="D40" s="191"/>
      <c r="E40" s="94"/>
      <c r="F40" s="191"/>
      <c r="G40" s="94"/>
      <c r="H40" s="92"/>
      <c r="I40" s="191"/>
    </row>
    <row r="41" spans="1:9" s="93" customFormat="1" ht="12.75" customHeight="1" x14ac:dyDescent="0.2">
      <c r="A41" s="94"/>
      <c r="B41" s="92"/>
      <c r="C41" s="191"/>
      <c r="D41" s="191"/>
      <c r="E41" s="94"/>
      <c r="F41" s="191"/>
      <c r="G41" s="94"/>
      <c r="H41" s="92"/>
      <c r="I41" s="191"/>
    </row>
    <row r="42" spans="1:9" s="93" customFormat="1" ht="12.75" customHeight="1" x14ac:dyDescent="0.2">
      <c r="A42" s="94"/>
      <c r="B42" s="94"/>
      <c r="C42" s="193"/>
      <c r="D42" s="193"/>
      <c r="E42" s="94"/>
      <c r="F42" s="193"/>
      <c r="G42" s="94"/>
      <c r="H42" s="94"/>
      <c r="I42" s="193"/>
    </row>
    <row r="43" spans="1:9" s="93" customFormat="1" ht="21" customHeight="1" x14ac:dyDescent="0.2">
      <c r="A43" s="94" t="s">
        <v>76</v>
      </c>
      <c r="B43" s="92" t="s">
        <v>33</v>
      </c>
      <c r="C43" s="190">
        <v>47599</v>
      </c>
      <c r="D43" s="191"/>
      <c r="E43" s="94"/>
      <c r="F43" s="191"/>
      <c r="G43" s="94"/>
      <c r="H43" s="94"/>
      <c r="I43" s="189"/>
    </row>
    <row r="44" spans="1:9" s="93" customFormat="1" ht="12.75" customHeight="1" x14ac:dyDescent="0.2">
      <c r="A44" s="94"/>
      <c r="B44" s="92"/>
      <c r="C44" s="191"/>
      <c r="D44" s="191"/>
      <c r="E44" s="94"/>
      <c r="F44" s="191"/>
      <c r="G44" s="94"/>
      <c r="H44" s="94"/>
      <c r="I44" s="191"/>
    </row>
    <row r="45" spans="1:9" s="93" customFormat="1" ht="12.75" customHeight="1" x14ac:dyDescent="0.2">
      <c r="A45" s="94"/>
      <c r="B45" s="92"/>
      <c r="C45" s="191"/>
      <c r="D45" s="191"/>
      <c r="E45" s="94"/>
      <c r="F45" s="191"/>
      <c r="G45" s="94"/>
      <c r="H45" s="94"/>
      <c r="I45" s="191"/>
    </row>
    <row r="46" spans="1:9" s="93" customFormat="1" ht="12.75" customHeight="1" x14ac:dyDescent="0.2">
      <c r="A46" s="94"/>
      <c r="B46" s="94"/>
      <c r="C46" s="193"/>
      <c r="D46" s="193"/>
      <c r="E46" s="94"/>
      <c r="F46" s="193"/>
      <c r="G46" s="94"/>
      <c r="H46" s="94"/>
      <c r="I46" s="193"/>
    </row>
    <row r="47" spans="1:9" s="93" customFormat="1" ht="21" customHeight="1" x14ac:dyDescent="0.2">
      <c r="A47" s="94" t="s">
        <v>77</v>
      </c>
      <c r="B47" s="92" t="s">
        <v>33</v>
      </c>
      <c r="C47" s="190">
        <v>109408</v>
      </c>
      <c r="D47" s="191"/>
      <c r="E47" s="94"/>
      <c r="F47" s="191"/>
      <c r="G47" s="94"/>
      <c r="H47" s="94"/>
      <c r="I47" s="94"/>
    </row>
    <row r="48" spans="1:9" s="93" customFormat="1" ht="12.75" customHeight="1" x14ac:dyDescent="0.2">
      <c r="A48" s="94"/>
      <c r="B48" s="92"/>
      <c r="C48" s="191"/>
      <c r="D48" s="191"/>
      <c r="E48" s="94"/>
      <c r="F48" s="94"/>
      <c r="G48" s="94"/>
      <c r="H48" s="94"/>
      <c r="I48" s="191"/>
    </row>
    <row r="49" spans="1:9" ht="12.75" customHeight="1" x14ac:dyDescent="0.2">
      <c r="C49" s="86"/>
      <c r="D49" s="86"/>
      <c r="I49" s="86"/>
    </row>
    <row r="50" spans="1:9" ht="12.75" customHeight="1" x14ac:dyDescent="0.2">
      <c r="I50" s="89"/>
    </row>
    <row r="51" spans="1:9" ht="12.75" x14ac:dyDescent="0.2">
      <c r="A51" s="94" t="s">
        <v>78</v>
      </c>
      <c r="B51" s="92" t="s">
        <v>33</v>
      </c>
      <c r="C51" s="190">
        <v>63988</v>
      </c>
      <c r="D51" s="191"/>
      <c r="E51" s="92" t="s">
        <v>67</v>
      </c>
      <c r="F51" s="190">
        <v>9726</v>
      </c>
    </row>
    <row r="52" spans="1:9" ht="12.75" x14ac:dyDescent="0.2">
      <c r="A52" s="94"/>
      <c r="B52" s="92"/>
      <c r="C52" s="191"/>
      <c r="D52" s="191"/>
      <c r="E52" s="92"/>
      <c r="F52" s="191"/>
    </row>
    <row r="55" spans="1:9" x14ac:dyDescent="0.2">
      <c r="A55" s="103"/>
    </row>
    <row r="56" spans="1:9" x14ac:dyDescent="0.2">
      <c r="A56" s="103"/>
    </row>
  </sheetData>
  <phoneticPr fontId="5" type="noConversion"/>
  <pageMargins left="0" right="0" top="0.5" bottom="0.5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1" t="s">
        <v>79</v>
      </c>
      <c r="B1" s="146"/>
      <c r="C1" s="146"/>
      <c r="D1" s="146"/>
      <c r="E1" s="146"/>
      <c r="F1" s="146"/>
      <c r="G1" s="146"/>
      <c r="H1" s="146"/>
    </row>
    <row r="2" spans="1:8" x14ac:dyDescent="0.2">
      <c r="A2" s="44"/>
      <c r="B2" s="44"/>
      <c r="C2" s="44"/>
      <c r="D2" s="44"/>
      <c r="E2" s="44"/>
      <c r="F2" s="44"/>
      <c r="G2" s="146"/>
      <c r="H2" s="146"/>
    </row>
    <row r="3" spans="1:8" ht="25.5" x14ac:dyDescent="0.2">
      <c r="A3" s="2" t="s">
        <v>3</v>
      </c>
      <c r="B3" s="26" t="s">
        <v>4</v>
      </c>
      <c r="C3" s="195" t="s">
        <v>7</v>
      </c>
      <c r="D3" s="195" t="s">
        <v>42</v>
      </c>
      <c r="E3" s="196" t="s">
        <v>80</v>
      </c>
      <c r="F3" s="196" t="s">
        <v>81</v>
      </c>
      <c r="G3" s="197" t="s">
        <v>82</v>
      </c>
      <c r="H3" s="146"/>
    </row>
    <row r="4" spans="1:8" x14ac:dyDescent="0.2">
      <c r="A4" s="236" t="s">
        <v>83</v>
      </c>
      <c r="B4" s="198" t="s">
        <v>84</v>
      </c>
      <c r="C4" s="199">
        <f>IF(ISBLANK('Electric old'!G4),"-",'Electric old'!G4)</f>
        <v>1460.3728572611496</v>
      </c>
      <c r="D4" s="200" t="s">
        <v>85</v>
      </c>
      <c r="E4" s="199" t="str">
        <f>IF(ISBLANK('Water Old'!G4),"-",'Water Old'!G4)</f>
        <v>-</v>
      </c>
      <c r="F4" s="200" t="s">
        <v>85</v>
      </c>
      <c r="G4" s="200" t="s">
        <v>85</v>
      </c>
      <c r="H4" s="146"/>
    </row>
    <row r="5" spans="1:8" x14ac:dyDescent="0.2">
      <c r="A5" s="236"/>
      <c r="B5" s="198" t="s">
        <v>86</v>
      </c>
      <c r="C5" s="199">
        <f>IF(ISBLANK('Electric old'!G5),"-",'Electric old'!G5)</f>
        <v>2164.4370943652407</v>
      </c>
      <c r="D5" s="200" t="s">
        <v>85</v>
      </c>
      <c r="E5" s="199" t="str">
        <f>IF(ISBLANK('Water Old'!G5),"-",'Water Old'!G5)</f>
        <v>-</v>
      </c>
      <c r="F5" s="200" t="s">
        <v>85</v>
      </c>
      <c r="G5" s="200" t="s">
        <v>85</v>
      </c>
      <c r="H5" s="146" t="s">
        <v>17</v>
      </c>
    </row>
    <row r="6" spans="1:8" x14ac:dyDescent="0.2">
      <c r="A6" s="236"/>
      <c r="B6" s="198" t="s">
        <v>87</v>
      </c>
      <c r="C6" s="199">
        <f>IF(ISBLANK('Electric old'!G6),"-",'Electric old'!G6)</f>
        <v>2513.2609600000001</v>
      </c>
      <c r="D6" s="200" t="s">
        <v>85</v>
      </c>
      <c r="E6" s="199" t="str">
        <f>IF(ISBLANK('Water Old'!G6),"-",'Water Old'!G6)</f>
        <v>-</v>
      </c>
      <c r="F6" s="199">
        <f t="shared" ref="F6:F12" si="0">SUM(C6:E6)</f>
        <v>2513.2609600000001</v>
      </c>
      <c r="G6" s="201">
        <f>F6</f>
        <v>2513.2609600000001</v>
      </c>
      <c r="H6" s="146"/>
    </row>
    <row r="7" spans="1:8" x14ac:dyDescent="0.2">
      <c r="A7" s="236"/>
      <c r="B7" s="198" t="s">
        <v>88</v>
      </c>
      <c r="C7" s="199">
        <f>IF(ISBLANK('Electric old'!G7),"-",'Electric old'!G7)</f>
        <v>2178.8764200000001</v>
      </c>
      <c r="D7" s="199">
        <f>IF(ISBLANK(4/24*('Gas Old'!$H$4+'Gas Old'!$H$13)),"-",4/24*('Gas Old'!$H$4+'Gas Old'!$H$13))</f>
        <v>945.80903999999987</v>
      </c>
      <c r="E7" s="199">
        <f>IF(ISBLANK('Water Old'!G7),"-",'Water Old'!G7)</f>
        <v>320.35941728099999</v>
      </c>
      <c r="F7" s="199">
        <f t="shared" si="0"/>
        <v>3445.0448772809996</v>
      </c>
      <c r="G7" s="201">
        <f t="shared" ref="G7:G12" si="1">F7+G6</f>
        <v>5958.3058372809992</v>
      </c>
      <c r="H7" s="146"/>
    </row>
    <row r="8" spans="1:8" x14ac:dyDescent="0.2">
      <c r="A8" s="236"/>
      <c r="B8" s="198" t="s">
        <v>89</v>
      </c>
      <c r="C8" s="199">
        <f>IF(ISBLANK('Electric old'!G8),"-",'Electric old'!G8)</f>
        <v>2305.0137599999998</v>
      </c>
      <c r="D8" s="199">
        <f>IF(ISBLANK(4/24*('Gas Old'!$H$5+'Gas Old'!$H$14)),"-",4/24*('Gas Old'!$H$5+'Gas Old'!$H$14))</f>
        <v>616.46603999999991</v>
      </c>
      <c r="E8" s="199">
        <f>IF(ISBLANK('Water Old'!G8),"-",'Water Old'!G8)</f>
        <v>174.4049892459968</v>
      </c>
      <c r="F8" s="199">
        <f t="shared" si="0"/>
        <v>3095.8847892459962</v>
      </c>
      <c r="G8" s="201">
        <f t="shared" si="1"/>
        <v>9054.1906265269954</v>
      </c>
      <c r="H8" s="146"/>
    </row>
    <row r="9" spans="1:8" x14ac:dyDescent="0.2">
      <c r="A9" s="236"/>
      <c r="B9" s="202" t="s">
        <v>90</v>
      </c>
      <c r="C9" s="199">
        <f>IF(ISBLANK('Electric old'!G9),"-",'Electric old'!G9)</f>
        <v>1390.9624819599999</v>
      </c>
      <c r="D9" s="199">
        <f>IF(ISBLANK(4/24*('Gas Old'!$H$6+'Gas Old'!$H$15)),"-",4/24*('Gas Old'!$H$6+'Gas Old'!$H$15))</f>
        <v>289.83395999999999</v>
      </c>
      <c r="E9" s="199">
        <f>IF(ISBLANK('Water Old'!G9),"-",'Water Old'!G9)</f>
        <v>197.52580068139198</v>
      </c>
      <c r="F9" s="199">
        <f t="shared" si="0"/>
        <v>1878.3222426413918</v>
      </c>
      <c r="G9" s="201">
        <f t="shared" si="1"/>
        <v>10932.512869168388</v>
      </c>
      <c r="H9" s="146"/>
    </row>
    <row r="10" spans="1:8" x14ac:dyDescent="0.2">
      <c r="A10" s="236"/>
      <c r="B10" s="202" t="s">
        <v>91</v>
      </c>
      <c r="C10" s="199">
        <f>IF(ISBLANK('Electric old'!G10),"-",'Electric old'!G10)</f>
        <v>1826.4164774000001</v>
      </c>
      <c r="D10" s="199">
        <f>IF(ISBLANK(4/24*('Gas Old'!$H$7+'Gas Old'!$H$16)),"-",4/24*('Gas Old'!$H$7+'Gas Old'!$H$16))</f>
        <v>298.93976666666663</v>
      </c>
      <c r="E10" s="199">
        <f>IF(ISBLANK('Water Old'!G10),"-",'Water Old'!G10)</f>
        <v>30.46470789656</v>
      </c>
      <c r="F10" s="199">
        <f t="shared" si="0"/>
        <v>2155.8209519632264</v>
      </c>
      <c r="G10" s="201">
        <f t="shared" si="1"/>
        <v>13088.333821131615</v>
      </c>
      <c r="H10" s="146"/>
    </row>
    <row r="11" spans="1:8" x14ac:dyDescent="0.2">
      <c r="A11" s="236"/>
      <c r="B11" s="198" t="s">
        <v>92</v>
      </c>
      <c r="C11" s="199">
        <f>IF(ISBLANK('Electric old'!G11),"-",'Electric old'!G11)</f>
        <v>2230.88184</v>
      </c>
      <c r="D11" s="199">
        <f>IF(ISBLANK(4/24*('Gas Old'!$H$8+'Gas Old'!$H$17)),"-",4/24*('Gas Old'!$H$8+'Gas Old'!$H$17))</f>
        <v>368.87085833333327</v>
      </c>
      <c r="E11" s="199">
        <f>IF(ISBLANK('Water Old'!G11),"-",'Water Old'!G11)</f>
        <v>64.455778963904905</v>
      </c>
      <c r="F11" s="199">
        <f t="shared" si="0"/>
        <v>2664.208477297238</v>
      </c>
      <c r="G11" s="201">
        <f t="shared" si="1"/>
        <v>15752.542298428853</v>
      </c>
      <c r="H11" s="19"/>
    </row>
    <row r="12" spans="1:8" x14ac:dyDescent="0.2">
      <c r="A12" s="236"/>
      <c r="B12" s="198" t="s">
        <v>93</v>
      </c>
      <c r="C12" s="199">
        <f>IF(ISBLANK('Electric old'!G12),"-",'Electric old'!G12)</f>
        <v>2453.9424000000004</v>
      </c>
      <c r="D12" s="199">
        <f>IF(ISBLANK(4/24*('Gas Old'!$H$9+'Gas Old'!$H$18)),"-",4/24*('Gas Old'!$H$9+'Gas Old'!$H$18))</f>
        <v>528.28620000000001</v>
      </c>
      <c r="E12" s="199">
        <f>IF(ISBLANK('Water Old'!G12),"-",'Water Old'!G12)</f>
        <v>108.95134208323749</v>
      </c>
      <c r="F12" s="199">
        <f t="shared" si="0"/>
        <v>3091.1799420832381</v>
      </c>
      <c r="G12" s="201">
        <f t="shared" si="1"/>
        <v>18843.722240512092</v>
      </c>
      <c r="H12" s="146"/>
    </row>
    <row r="13" spans="1:8" x14ac:dyDescent="0.2">
      <c r="A13" s="236"/>
      <c r="B13" s="198" t="s">
        <v>94</v>
      </c>
      <c r="C13" s="199">
        <f>IF(ISBLANK('Electric old'!G13),"-",'Electric old'!G13)</f>
        <v>3292.6608000000001</v>
      </c>
      <c r="D13" s="199">
        <f>IF(ISBLANK(4/24*('Gas Old'!$H$10+'Gas Old'!$H$19)),"-",4/24*('Gas Old'!$H$10+'Gas Old'!$H$19))</f>
        <v>790.95849999999984</v>
      </c>
      <c r="E13" s="199">
        <f>IF(ISBLANK('Water Old'!G13),"-",'Water Old'!G13)</f>
        <v>158.80947540000003</v>
      </c>
      <c r="F13" s="199">
        <f>SUM(C13:E13)</f>
        <v>4242.4287753999997</v>
      </c>
      <c r="G13" s="201">
        <f>F13+G12</f>
        <v>23086.151015912092</v>
      </c>
      <c r="H13" s="146"/>
    </row>
    <row r="14" spans="1:8" x14ac:dyDescent="0.2">
      <c r="A14" s="236"/>
      <c r="B14" s="198" t="s">
        <v>95</v>
      </c>
      <c r="C14" s="199">
        <f>IF(ISBLANK('Electric old'!G14),"-",'Electric old'!G14)</f>
        <v>1161.6144000000002</v>
      </c>
      <c r="D14" s="199">
        <f>IF(ISBLANK(4/24*('Gas Old'!$H$11+'Gas Old'!$H$20)),"-",4/24*('Gas Old'!$H$11+'Gas Old'!$H$20))</f>
        <v>758.02788333333319</v>
      </c>
      <c r="E14" s="199">
        <f>IF(ISBLANK('Water Old'!G14),"-",'Water Old'!G14)</f>
        <v>61.984650000000002</v>
      </c>
      <c r="F14" s="199">
        <f>SUM(C14:E14)</f>
        <v>1981.6269333333335</v>
      </c>
      <c r="G14" s="201">
        <f>F14+G13</f>
        <v>25067.777949245425</v>
      </c>
      <c r="H14" s="146"/>
    </row>
    <row r="15" spans="1:8" x14ac:dyDescent="0.2">
      <c r="A15" s="236"/>
      <c r="B15" s="198" t="s">
        <v>96</v>
      </c>
      <c r="C15" s="199">
        <f>IF(ISBLANK('Electric old'!G15),"-",'Electric old'!G15)</f>
        <v>1344.3788420679887</v>
      </c>
      <c r="D15" s="199">
        <f>IF(ISBLANK(4/24*('Gas Old'!$H$12+'Gas Old'!$H$21)),"-",4/24*('Gas Old'!$H$12+'Gas Old'!$H$21))</f>
        <v>939.42190636492762</v>
      </c>
      <c r="E15" s="199">
        <f>IF(ISBLANK('Water Old'!G15),"-",'Water Old'!G15)</f>
        <v>43.281210104995253</v>
      </c>
      <c r="F15" s="199">
        <f>SUM(C15:E15)</f>
        <v>2327.0819585379118</v>
      </c>
      <c r="G15" s="201">
        <f>F15+G14</f>
        <v>27394.859907783335</v>
      </c>
      <c r="H15" s="146"/>
    </row>
    <row r="16" spans="1:8" x14ac:dyDescent="0.2">
      <c r="A16" s="236" t="s">
        <v>68</v>
      </c>
      <c r="B16" s="48" t="str">
        <f>B4</f>
        <v>January</v>
      </c>
      <c r="C16" s="199">
        <f>IF(ISBLANK('Electric old'!G16),"-",'Electric old'!G16)</f>
        <v>754.12265521752818</v>
      </c>
      <c r="D16" s="200" t="s">
        <v>85</v>
      </c>
      <c r="E16" s="199" t="str">
        <f>IF(ISBLANK('Water Old'!G16),"-",'Water Old'!G16)</f>
        <v>-</v>
      </c>
      <c r="F16" s="200" t="s">
        <v>85</v>
      </c>
      <c r="G16" s="200" t="s">
        <v>85</v>
      </c>
      <c r="H16" s="146"/>
    </row>
    <row r="17" spans="1:9" x14ac:dyDescent="0.2">
      <c r="A17" s="236"/>
      <c r="B17" s="48" t="str">
        <f t="shared" ref="B17:B80" si="2">B5</f>
        <v>February</v>
      </c>
      <c r="C17" s="199">
        <f>IF(ISBLANK('Electric old'!G17),"-",'Electric old'!G17)</f>
        <v>1140.2634122399918</v>
      </c>
      <c r="D17" s="200" t="s">
        <v>85</v>
      </c>
      <c r="E17" s="199" t="str">
        <f>IF(ISBLANK('Water Old'!G17),"-",'Water Old'!G17)</f>
        <v>-</v>
      </c>
      <c r="F17" s="200" t="s">
        <v>85</v>
      </c>
      <c r="G17" s="200" t="s">
        <v>85</v>
      </c>
      <c r="H17" s="146"/>
      <c r="I17" s="146"/>
    </row>
    <row r="18" spans="1:9" x14ac:dyDescent="0.2">
      <c r="A18" s="236"/>
      <c r="B18" s="48" t="str">
        <f t="shared" si="2"/>
        <v>March</v>
      </c>
      <c r="C18" s="199">
        <f>IF(ISBLANK('Electric old'!G18),"-",'Electric old'!G18)</f>
        <v>836.36503999999991</v>
      </c>
      <c r="D18" s="200" t="s">
        <v>85</v>
      </c>
      <c r="E18" s="199" t="str">
        <f>IF(ISBLANK('Water Old'!G18),"-",'Water Old'!G18)</f>
        <v>-</v>
      </c>
      <c r="F18" s="199">
        <f t="shared" ref="F18:F24" si="3">SUM(C18:E18)</f>
        <v>836.36503999999991</v>
      </c>
      <c r="G18" s="201">
        <f>F18</f>
        <v>836.36503999999991</v>
      </c>
      <c r="H18" s="146"/>
      <c r="I18" s="146"/>
    </row>
    <row r="19" spans="1:9" x14ac:dyDescent="0.2">
      <c r="A19" s="236"/>
      <c r="B19" s="48" t="str">
        <f t="shared" si="2"/>
        <v>April</v>
      </c>
      <c r="C19" s="199">
        <f>IF(ISBLANK('Electric old'!G19),"-",'Electric old'!G19)</f>
        <v>1097.55072</v>
      </c>
      <c r="D19" s="199">
        <f>IF(ISBLANK(4/24*('Gas Old'!$H$4+'Gas Old'!$H$13)),"-",4/24*('Gas Old'!$H$4+'Gas Old'!$H$13))</f>
        <v>945.80903999999987</v>
      </c>
      <c r="E19" s="199">
        <f>IF(ISBLANK('Water Old'!G19),"-",'Water Old'!G19)</f>
        <v>144.31084074099999</v>
      </c>
      <c r="F19" s="199">
        <f t="shared" si="3"/>
        <v>2187.6706007409998</v>
      </c>
      <c r="G19" s="201">
        <f t="shared" ref="G19:G24" si="4">F19+G18</f>
        <v>3024.035640741</v>
      </c>
      <c r="H19" s="146"/>
      <c r="I19" s="146"/>
    </row>
    <row r="20" spans="1:9" x14ac:dyDescent="0.2">
      <c r="A20" s="236"/>
      <c r="B20" s="48" t="str">
        <f t="shared" si="2"/>
        <v>May</v>
      </c>
      <c r="C20" s="199">
        <f>IF(ISBLANK('Electric old'!G20),"-",'Electric old'!G20)</f>
        <v>826.39872000000003</v>
      </c>
      <c r="D20" s="199">
        <f>IF(ISBLANK(4/24*('Gas Old'!$H$5+'Gas Old'!$H$14)),"-",4/24*('Gas Old'!$H$5+'Gas Old'!$H$14))</f>
        <v>616.46603999999991</v>
      </c>
      <c r="E20" s="199">
        <f>IF(ISBLANK('Water Old'!G20),"-",'Water Old'!G20)</f>
        <v>94.911260555382384</v>
      </c>
      <c r="F20" s="199">
        <f t="shared" si="3"/>
        <v>1537.7760205553823</v>
      </c>
      <c r="G20" s="201">
        <f t="shared" si="4"/>
        <v>4561.8116612963822</v>
      </c>
      <c r="H20" s="146"/>
      <c r="I20" s="146"/>
    </row>
    <row r="21" spans="1:9" x14ac:dyDescent="0.2">
      <c r="A21" s="236"/>
      <c r="B21" s="48" t="str">
        <f t="shared" si="2"/>
        <v>June</v>
      </c>
      <c r="C21" s="199">
        <f>IF(ISBLANK('Electric old'!G21),"-",'Electric old'!G21)</f>
        <v>810.62868312000001</v>
      </c>
      <c r="D21" s="199">
        <f>IF(ISBLANK(4/24*('Gas Old'!$H$6+'Gas Old'!$H$15)),"-",4/24*('Gas Old'!$H$6+'Gas Old'!$H$15))</f>
        <v>289.83395999999999</v>
      </c>
      <c r="E21" s="199">
        <f>IF(ISBLANK('Water Old'!G21),"-",'Water Old'!G21)</f>
        <v>8.5494837229055989</v>
      </c>
      <c r="F21" s="199">
        <f t="shared" si="3"/>
        <v>1109.0121268429054</v>
      </c>
      <c r="G21" s="201">
        <f t="shared" si="4"/>
        <v>5670.8237881392879</v>
      </c>
      <c r="H21" s="146"/>
      <c r="I21" s="146"/>
    </row>
    <row r="22" spans="1:9" x14ac:dyDescent="0.2">
      <c r="A22" s="236"/>
      <c r="B22" s="48" t="str">
        <f t="shared" si="2"/>
        <v>July</v>
      </c>
      <c r="C22" s="199">
        <f>IF(ISBLANK('Electric old'!G22),"-",'Electric old'!G22)</f>
        <v>1084.3293237600001</v>
      </c>
      <c r="D22" s="199">
        <f>IF(ISBLANK(4/24*('Gas Old'!$H$7+'Gas Old'!$H$16)),"-",4/24*('Gas Old'!$H$7+'Gas Old'!$H$16))</f>
        <v>298.93976666666663</v>
      </c>
      <c r="E22" s="199">
        <f>IF(ISBLANK('Water Old'!G22),"-",'Water Old'!G22)</f>
        <v>14.385112296320001</v>
      </c>
      <c r="F22" s="199">
        <f t="shared" si="3"/>
        <v>1397.6542027229866</v>
      </c>
      <c r="G22" s="201">
        <f t="shared" si="4"/>
        <v>7068.477990862275</v>
      </c>
      <c r="H22" s="146"/>
      <c r="I22" s="146"/>
    </row>
    <row r="23" spans="1:9" x14ac:dyDescent="0.2">
      <c r="A23" s="236"/>
      <c r="B23" s="48" t="str">
        <f t="shared" si="2"/>
        <v>August</v>
      </c>
      <c r="C23" s="199">
        <f>IF(ISBLANK('Electric old'!G23),"-",'Electric old'!G23)</f>
        <v>1120.7235599999999</v>
      </c>
      <c r="D23" s="199">
        <f>IF(ISBLANK(4/24*('Gas Old'!$H$8+'Gas Old'!$H$17)),"-",4/24*('Gas Old'!$H$8+'Gas Old'!$H$17))</f>
        <v>368.87085833333327</v>
      </c>
      <c r="E23" s="199">
        <f>IF(ISBLANK('Water Old'!G23),"-",'Water Old'!G23)</f>
        <v>60.015679395010295</v>
      </c>
      <c r="F23" s="199">
        <f t="shared" si="3"/>
        <v>1549.6100977283434</v>
      </c>
      <c r="G23" s="201">
        <f t="shared" si="4"/>
        <v>8618.088088590619</v>
      </c>
      <c r="H23" s="146"/>
      <c r="I23" s="146" t="s">
        <v>17</v>
      </c>
    </row>
    <row r="24" spans="1:9" x14ac:dyDescent="0.2">
      <c r="A24" s="236"/>
      <c r="B24" s="48" t="str">
        <f t="shared" si="2"/>
        <v>September</v>
      </c>
      <c r="C24" s="199">
        <f>IF(ISBLANK('Electric old'!G24),"-",'Electric old'!G24)</f>
        <v>1050.4176</v>
      </c>
      <c r="D24" s="199">
        <f>IF(ISBLANK(4/24*('Gas Old'!$H9+'Gas Old'!$H18)),"-",4/24*('Gas Old'!$H9+'Gas Old'!$H18))</f>
        <v>528.28620000000001</v>
      </c>
      <c r="E24" s="199">
        <f>IF(ISBLANK('Water Old'!G24),"-",'Water Old'!G24)</f>
        <v>115.89822913073871</v>
      </c>
      <c r="F24" s="199">
        <f t="shared" si="3"/>
        <v>1694.6020291307386</v>
      </c>
      <c r="G24" s="201">
        <f t="shared" si="4"/>
        <v>10312.690117721359</v>
      </c>
      <c r="H24" s="146"/>
      <c r="I24" s="146"/>
    </row>
    <row r="25" spans="1:9" x14ac:dyDescent="0.2">
      <c r="A25" s="236"/>
      <c r="B25" s="48" t="str">
        <f t="shared" si="2"/>
        <v>October</v>
      </c>
      <c r="C25" s="199">
        <f>IF(ISBLANK('Electric old'!G25),"-",'Electric old'!G25)</f>
        <v>1410.4376</v>
      </c>
      <c r="D25" s="199">
        <f>IF(ISBLANK(4/24*('Gas Old'!$H10+'Gas Old'!$H19)),"-",4/24*('Gas Old'!$H10+'Gas Old'!$H19))</f>
        <v>790.95849999999984</v>
      </c>
      <c r="E25" s="199" t="str">
        <f>IF(ISBLANK('Water Old'!G25),"-",'Water Old'!G25)</f>
        <v>not read</v>
      </c>
      <c r="F25" s="199">
        <f>SUM(C25:E25)</f>
        <v>2201.3960999999999</v>
      </c>
      <c r="G25" s="201">
        <f>F25+G24</f>
        <v>12514.086217721358</v>
      </c>
      <c r="H25" s="146"/>
      <c r="I25" s="146"/>
    </row>
    <row r="26" spans="1:9" x14ac:dyDescent="0.2">
      <c r="A26" s="236"/>
      <c r="B26" s="48" t="str">
        <f t="shared" si="2"/>
        <v>November</v>
      </c>
      <c r="C26" s="199">
        <f>IF(ISBLANK('Electric old'!G26),"-",'Electric old'!G26)</f>
        <v>558.57150000000001</v>
      </c>
      <c r="D26" s="199">
        <f>IF(ISBLANK(4/24*('Gas Old'!$H11+'Gas Old'!$H20)),"-",4/24*('Gas Old'!$H11+'Gas Old'!$H20))</f>
        <v>758.02788333333319</v>
      </c>
      <c r="E26" s="199" t="str">
        <f>IF(ISBLANK('Water Old'!G26),"-",'Water Old'!G26)</f>
        <v>not read</v>
      </c>
      <c r="F26" s="199">
        <f>SUM(C26:E26)</f>
        <v>1316.5993833333332</v>
      </c>
      <c r="G26" s="201">
        <f>F26+G25</f>
        <v>13830.685601054691</v>
      </c>
      <c r="H26" s="146"/>
      <c r="I26" s="146"/>
    </row>
    <row r="27" spans="1:9" x14ac:dyDescent="0.2">
      <c r="A27" s="236"/>
      <c r="B27" s="48" t="str">
        <f t="shared" si="2"/>
        <v>December</v>
      </c>
      <c r="C27" s="199">
        <f>IF(ISBLANK('Electric old'!G27),"-",'Electric old'!G27)</f>
        <v>774.51461225212461</v>
      </c>
      <c r="D27" s="199">
        <f>IF(ISBLANK(4/24*('Gas Old'!$H$12+'Gas Old'!$H$21)),"-",4/24*('Gas Old'!$H$12+'Gas Old'!$H$21))</f>
        <v>939.42190636492762</v>
      </c>
      <c r="E27" s="199">
        <f>IF(ISBLANK('Water Old'!G27),"-",'Water Old'!G27)</f>
        <v>515.13438383065011</v>
      </c>
      <c r="F27" s="199">
        <f>SUM(C27:E27)</f>
        <v>2229.0709024477023</v>
      </c>
      <c r="G27" s="201">
        <f>F27+G26</f>
        <v>16059.756503502393</v>
      </c>
      <c r="H27" s="146"/>
      <c r="I27" s="146"/>
    </row>
    <row r="28" spans="1:9" x14ac:dyDescent="0.2">
      <c r="A28" s="236" t="s">
        <v>69</v>
      </c>
      <c r="B28" s="48" t="str">
        <f>B16</f>
        <v>January</v>
      </c>
      <c r="C28" s="199">
        <f>IF(ISBLANK('Electric old'!G28),"-",'Electric old'!G28)</f>
        <v>306.96237831840091</v>
      </c>
      <c r="D28" s="200" t="s">
        <v>85</v>
      </c>
      <c r="E28" s="199" t="str">
        <f>IF(ISBLANK('Water Old'!G28),"-",'Water Old'!G28)</f>
        <v>-</v>
      </c>
      <c r="F28" s="200" t="s">
        <v>85</v>
      </c>
      <c r="G28" s="200" t="s">
        <v>85</v>
      </c>
      <c r="H28" s="146"/>
      <c r="I28" s="146"/>
    </row>
    <row r="29" spans="1:9" x14ac:dyDescent="0.2">
      <c r="A29" s="236"/>
      <c r="B29" s="48" t="str">
        <f t="shared" si="2"/>
        <v>February</v>
      </c>
      <c r="C29" s="199">
        <f>IF(ISBLANK('Electric old'!G29),"-",'Electric old'!G29)</f>
        <v>588.64435411171576</v>
      </c>
      <c r="D29" s="200" t="s">
        <v>85</v>
      </c>
      <c r="E29" s="199" t="str">
        <f>IF(ISBLANK('Water Old'!G29),"-",'Water Old'!G29)</f>
        <v>-</v>
      </c>
      <c r="F29" s="200" t="s">
        <v>85</v>
      </c>
      <c r="G29" s="200" t="s">
        <v>85</v>
      </c>
      <c r="H29" s="146"/>
      <c r="I29" s="146"/>
    </row>
    <row r="30" spans="1:9" x14ac:dyDescent="0.2">
      <c r="A30" s="236"/>
      <c r="B30" s="48" t="str">
        <f t="shared" si="2"/>
        <v>March</v>
      </c>
      <c r="C30" s="199">
        <f>IF(ISBLANK('Electric old'!G30),"-",'Electric old'!G30)</f>
        <v>430.1472</v>
      </c>
      <c r="D30" s="200" t="s">
        <v>85</v>
      </c>
      <c r="E30" s="199" t="str">
        <f>IF(ISBLANK('Water Old'!G30),"-",'Water Old'!G30)</f>
        <v>-</v>
      </c>
      <c r="F30" s="199">
        <f t="shared" ref="F30:F36" si="5">SUM(C30:E30)</f>
        <v>430.1472</v>
      </c>
      <c r="G30" s="201">
        <f>F30</f>
        <v>430.1472</v>
      </c>
      <c r="H30" s="146"/>
      <c r="I30" s="146"/>
    </row>
    <row r="31" spans="1:9" x14ac:dyDescent="0.2">
      <c r="A31" s="236"/>
      <c r="B31" s="48" t="str">
        <f t="shared" si="2"/>
        <v>April</v>
      </c>
      <c r="C31" s="199">
        <f>IF(ISBLANK('Electric old'!G31),"-",'Electric old'!G31)</f>
        <v>493.73352</v>
      </c>
      <c r="D31" s="199">
        <f>IF(ISBLANK(2/24*('Gas Old'!$H$4+'Gas Old'!$H$13)),"-",2/24*('Gas Old'!$H$4+'Gas Old'!$H$13))</f>
        <v>472.90451999999993</v>
      </c>
      <c r="E31" s="199">
        <f>IF(ISBLANK('Water Old'!G31),"-",'Water Old'!G31)</f>
        <v>64.876291383000009</v>
      </c>
      <c r="F31" s="199">
        <f t="shared" si="5"/>
        <v>1031.5143313829999</v>
      </c>
      <c r="G31" s="201">
        <f t="shared" ref="G31:G36" si="6">F31+G30</f>
        <v>1461.6615313829998</v>
      </c>
      <c r="H31" s="146"/>
      <c r="I31" s="146"/>
    </row>
    <row r="32" spans="1:9" x14ac:dyDescent="0.2">
      <c r="A32" s="236"/>
      <c r="B32" s="48" t="str">
        <f t="shared" si="2"/>
        <v>May</v>
      </c>
      <c r="C32" s="199">
        <f>IF(ISBLANK('Electric old'!G32),"-",'Electric old'!G32)</f>
        <v>414.28800000000001</v>
      </c>
      <c r="D32" s="199">
        <f>IF(ISBLANK(2/24*('Gas Old'!$H$5+'Gas Old'!$H$14)),"-",2/24*('Gas Old'!$H$5+'Gas Old'!$H$14))</f>
        <v>308.23301999999995</v>
      </c>
      <c r="E32" s="199">
        <f>IF(ISBLANK('Water Old'!G32),"-",'Water Old'!G32)</f>
        <v>43.246468879383798</v>
      </c>
      <c r="F32" s="199">
        <f t="shared" si="5"/>
        <v>765.76748887938368</v>
      </c>
      <c r="G32" s="201">
        <f t="shared" si="6"/>
        <v>2227.4290202623833</v>
      </c>
      <c r="H32" s="146"/>
      <c r="I32" s="146"/>
    </row>
    <row r="33" spans="1:7" x14ac:dyDescent="0.2">
      <c r="A33" s="236"/>
      <c r="B33" s="48" t="str">
        <f t="shared" si="2"/>
        <v>June</v>
      </c>
      <c r="C33" s="199">
        <f>IF(ISBLANK('Electric old'!G33),"-",'Electric old'!G33)</f>
        <v>146.0434966</v>
      </c>
      <c r="D33" s="199">
        <f>IF(ISBLANK(2/24*('Gas Old'!$H$6+'Gas Old'!$H$15)),"-",2/24*('Gas Old'!$H$6+'Gas Old'!$H$15))</f>
        <v>144.91698</v>
      </c>
      <c r="E33" s="199">
        <f>IF(ISBLANK('Water Old'!G33),"-",'Water Old'!G33)</f>
        <v>0.41415181991039995</v>
      </c>
      <c r="F33" s="199">
        <f t="shared" si="5"/>
        <v>291.37462841991038</v>
      </c>
      <c r="G33" s="201">
        <f t="shared" si="6"/>
        <v>2518.8036486822939</v>
      </c>
    </row>
    <row r="34" spans="1:7" x14ac:dyDescent="0.2">
      <c r="A34" s="236"/>
      <c r="B34" s="48" t="str">
        <f t="shared" si="2"/>
        <v>July</v>
      </c>
      <c r="C34" s="199">
        <f>IF(ISBLANK('Electric old'!G34),"-",'Electric old'!G34)</f>
        <v>310.93882303999999</v>
      </c>
      <c r="D34" s="199">
        <f>IF(ISBLANK(2/24*('Gas Old'!$H$7+'Gas Old'!$H$16)),"-",2/24*('Gas Old'!$H$7+'Gas Old'!$H$16))</f>
        <v>149.46988333333331</v>
      </c>
      <c r="E34" s="199">
        <f>IF(ISBLANK('Water Old'!G34),"-",'Water Old'!G34)</f>
        <v>0.35415708815999997</v>
      </c>
      <c r="F34" s="199">
        <f t="shared" si="5"/>
        <v>460.76286346149328</v>
      </c>
      <c r="G34" s="201">
        <f t="shared" si="6"/>
        <v>2979.5665121437873</v>
      </c>
    </row>
    <row r="35" spans="1:7" x14ac:dyDescent="0.2">
      <c r="A35" s="236"/>
      <c r="B35" s="48" t="str">
        <f t="shared" si="2"/>
        <v>August</v>
      </c>
      <c r="C35" s="199">
        <f>IF(ISBLANK('Electric old'!G35),"-",'Electric old'!G35)</f>
        <v>430.42032</v>
      </c>
      <c r="D35" s="199">
        <f>IF(ISBLANK(2/24*('Gas Old'!$H$8+'Gas Old'!$H$17)),"-",2/24*('Gas Old'!$H$8+'Gas Old'!$H$17))</f>
        <v>184.43542916666664</v>
      </c>
      <c r="E35" s="199">
        <f>IF(ISBLANK('Water Old'!G35),"-",'Water Old'!G35)</f>
        <v>32.804702159366798</v>
      </c>
      <c r="F35" s="199">
        <f t="shared" si="5"/>
        <v>647.66045132603347</v>
      </c>
      <c r="G35" s="201">
        <f t="shared" si="6"/>
        <v>3627.2269634698209</v>
      </c>
    </row>
    <row r="36" spans="1:7" x14ac:dyDescent="0.2">
      <c r="A36" s="236"/>
      <c r="B36" s="48" t="str">
        <f t="shared" si="2"/>
        <v>September</v>
      </c>
      <c r="C36" s="199">
        <f>IF(ISBLANK('Electric old'!G36),"-",'Electric old'!G36)</f>
        <v>657.75120000000004</v>
      </c>
      <c r="D36" s="199">
        <f>IF(ISBLANK(2/24*('Gas Old'!$H9+'Gas Old'!$H18)),"-",2/24*('Gas Old'!$H9+'Gas Old'!$H18))</f>
        <v>264.1431</v>
      </c>
      <c r="E36" s="199">
        <f>IF(ISBLANK('Water Old'!G36),"-",'Water Old'!G36)</f>
        <v>92.684973928961384</v>
      </c>
      <c r="F36" s="199">
        <f t="shared" si="5"/>
        <v>1014.5792739289615</v>
      </c>
      <c r="G36" s="201">
        <f t="shared" si="6"/>
        <v>4641.8062373987823</v>
      </c>
    </row>
    <row r="37" spans="1:7" x14ac:dyDescent="0.2">
      <c r="A37" s="236"/>
      <c r="B37" s="48" t="str">
        <f t="shared" si="2"/>
        <v>October</v>
      </c>
      <c r="C37" s="199">
        <f>IF(ISBLANK('Electric old'!G37),"-",'Electric old'!G37)</f>
        <v>873.78719999999998</v>
      </c>
      <c r="D37" s="199">
        <f>IF(ISBLANK(2/24*('Gas Old'!$H10+'Gas Old'!$H19)),"-",2/24*('Gas Old'!$H10+'Gas Old'!$H19))</f>
        <v>395.47924999999992</v>
      </c>
      <c r="E37" s="199">
        <f>IF(ISBLANK('Water Old'!G37),"-",'Water Old'!G37)</f>
        <v>128.22038620000001</v>
      </c>
      <c r="F37" s="199">
        <f>SUM(C37:E37)</f>
        <v>1397.4868361999997</v>
      </c>
      <c r="G37" s="201">
        <f>F37+G36</f>
        <v>6039.293073598782</v>
      </c>
    </row>
    <row r="38" spans="1:7" x14ac:dyDescent="0.2">
      <c r="A38" s="236"/>
      <c r="B38" s="48" t="str">
        <f t="shared" si="2"/>
        <v>November</v>
      </c>
      <c r="C38" s="199">
        <f>IF(ISBLANK('Electric old'!G38),"-",'Electric old'!G38)</f>
        <v>329.33840000000004</v>
      </c>
      <c r="D38" s="199">
        <f>IF(ISBLANK(2/24*('Gas Old'!$H11+'Gas Old'!$H20)),"-",2/24*('Gas Old'!$H11+'Gas Old'!$H20))</f>
        <v>379.0139416666666</v>
      </c>
      <c r="E38" s="199">
        <f>IF(ISBLANK('Water Old'!G38),"-",'Water Old'!G38)</f>
        <v>60.299699999999994</v>
      </c>
      <c r="F38" s="199">
        <f>SUM(C38:E38)</f>
        <v>768.65204166666672</v>
      </c>
      <c r="G38" s="201">
        <f>F38+G37</f>
        <v>6807.9451152654492</v>
      </c>
    </row>
    <row r="39" spans="1:7" x14ac:dyDescent="0.2">
      <c r="A39" s="236"/>
      <c r="B39" s="48" t="str">
        <f t="shared" si="2"/>
        <v>December</v>
      </c>
      <c r="C39" s="199">
        <f>IF(ISBLANK('Electric old'!G39),"-",'Electric old'!G39)</f>
        <v>274.8628806657224</v>
      </c>
      <c r="D39" s="199">
        <f>IF(ISBLANK(2/24*('Gas Old'!$H12+'Gas Old'!$H21)),"-",2/24*('Gas Old'!$H12+'Gas Old'!$H21))</f>
        <v>469.71095318246381</v>
      </c>
      <c r="E39" s="199">
        <f>IF(ISBLANK('Water Old'!G39),"-",'Water Old'!G39)</f>
        <v>36.52412943223009</v>
      </c>
      <c r="F39" s="199">
        <f>SUM(C39:E39)</f>
        <v>781.09796328041637</v>
      </c>
      <c r="G39" s="201">
        <f>F39+G38</f>
        <v>7589.0430785458657</v>
      </c>
    </row>
    <row r="40" spans="1:7" x14ac:dyDescent="0.2">
      <c r="A40" s="236" t="s">
        <v>70</v>
      </c>
      <c r="B40" s="48" t="str">
        <f t="shared" si="2"/>
        <v>January</v>
      </c>
      <c r="C40" s="199">
        <f>IF(ISBLANK('Electric old'!G40),"-",'Electric old'!G40)</f>
        <v>77.332424357849064</v>
      </c>
      <c r="D40" s="200" t="s">
        <v>85</v>
      </c>
      <c r="E40" s="199" t="str">
        <f>IF(ISBLANK('Water Old'!G40),"-",'Water Old'!G40)</f>
        <v>-</v>
      </c>
      <c r="F40" s="200" t="s">
        <v>85</v>
      </c>
      <c r="G40" s="200" t="s">
        <v>85</v>
      </c>
    </row>
    <row r="41" spans="1:7" x14ac:dyDescent="0.2">
      <c r="A41" s="236"/>
      <c r="B41" s="48" t="str">
        <f t="shared" si="2"/>
        <v>February</v>
      </c>
      <c r="C41" s="199">
        <f>IF(ISBLANK('Electric old'!G41),"-",'Electric old'!G41)</f>
        <v>153.78996638954735</v>
      </c>
      <c r="D41" s="200" t="s">
        <v>85</v>
      </c>
      <c r="E41" s="199" t="str">
        <f>IF(ISBLANK('Water Old'!G41),"-",'Water Old'!G41)</f>
        <v>-</v>
      </c>
      <c r="F41" s="200" t="s">
        <v>85</v>
      </c>
      <c r="G41" s="200" t="s">
        <v>85</v>
      </c>
    </row>
    <row r="42" spans="1:7" x14ac:dyDescent="0.2">
      <c r="A42" s="236"/>
      <c r="B42" s="48" t="str">
        <f t="shared" si="2"/>
        <v>March</v>
      </c>
      <c r="C42" s="199">
        <f>IF(ISBLANK('Electric old'!G42),"-",'Electric old'!G42)</f>
        <v>93.489199999999997</v>
      </c>
      <c r="D42" s="200" t="s">
        <v>85</v>
      </c>
      <c r="E42" s="199" t="str">
        <f>IF(ISBLANK('Water Old'!G42),"-",'Water Old'!G42)</f>
        <v>-</v>
      </c>
      <c r="F42" s="199">
        <f t="shared" ref="F42:F48" si="7">SUM(C42:E42)</f>
        <v>93.489199999999997</v>
      </c>
      <c r="G42" s="201">
        <f>F42</f>
        <v>93.489199999999997</v>
      </c>
    </row>
    <row r="43" spans="1:7" x14ac:dyDescent="0.2">
      <c r="A43" s="236"/>
      <c r="B43" s="48" t="str">
        <f t="shared" si="2"/>
        <v>April</v>
      </c>
      <c r="C43" s="199">
        <f>IF(ISBLANK('Electric old'!G43),"-",'Electric old'!G43)</f>
        <v>114.49935000000001</v>
      </c>
      <c r="D43" s="199">
        <f>IF(ISBLANK(2/24*('Gas Old'!$H$4+'Gas Old'!$H$13)),"-",2/24*('Gas Old'!$H$4+'Gas Old'!$H$13))</f>
        <v>472.90451999999993</v>
      </c>
      <c r="E43" s="199">
        <f>IF(ISBLANK('Water Old'!G43),"-",'Water Old'!G43)</f>
        <v>80.424657583000013</v>
      </c>
      <c r="F43" s="199">
        <f t="shared" si="7"/>
        <v>667.82852758299998</v>
      </c>
      <c r="G43" s="201">
        <f t="shared" ref="G43:G48" si="8">F43+G42</f>
        <v>761.31772758299996</v>
      </c>
    </row>
    <row r="44" spans="1:7" x14ac:dyDescent="0.2">
      <c r="A44" s="236"/>
      <c r="B44" s="48" t="str">
        <f t="shared" si="2"/>
        <v>May</v>
      </c>
      <c r="C44" s="199">
        <f>IF(ISBLANK('Electric old'!G44),"-",'Electric old'!G44)</f>
        <v>102.69503999999999</v>
      </c>
      <c r="D44" s="199">
        <f>IF(ISBLANK(2/24*('Gas Old'!$H$5+'Gas Old'!$H$14)),"-",2/24*('Gas Old'!$H$5+'Gas Old'!$H$14))</f>
        <v>308.23301999999995</v>
      </c>
      <c r="E44" s="199">
        <f>IF(ISBLANK('Water Old'!G44),"-",'Water Old'!G44)</f>
        <v>87.469673442245792</v>
      </c>
      <c r="F44" s="199">
        <f t="shared" si="7"/>
        <v>498.39773344224574</v>
      </c>
      <c r="G44" s="201">
        <f t="shared" si="8"/>
        <v>1259.7154610252458</v>
      </c>
    </row>
    <row r="45" spans="1:7" x14ac:dyDescent="0.2">
      <c r="A45" s="236"/>
      <c r="B45" s="48" t="str">
        <f t="shared" si="2"/>
        <v>June</v>
      </c>
      <c r="C45" s="199">
        <f>IF(ISBLANK('Electric old'!G45),"-",'Electric old'!G45)</f>
        <v>33.7471028</v>
      </c>
      <c r="D45" s="199">
        <f>IF(ISBLANK(2/24*('Gas Old'!$H$6+'Gas Old'!$H$15)),"-",2/24*('Gas Old'!$H$6+'Gas Old'!$H$15))</f>
        <v>144.91698</v>
      </c>
      <c r="E45" s="199">
        <f>IF(ISBLANK('Water Old'!G45),"-",'Water Old'!G45)</f>
        <v>0.53434273268159993</v>
      </c>
      <c r="F45" s="199">
        <f t="shared" si="7"/>
        <v>179.1984255326816</v>
      </c>
      <c r="G45" s="201">
        <f t="shared" si="8"/>
        <v>1438.9138865579273</v>
      </c>
    </row>
    <row r="46" spans="1:7" x14ac:dyDescent="0.2">
      <c r="A46" s="236"/>
      <c r="B46" s="48" t="str">
        <f t="shared" si="2"/>
        <v>July</v>
      </c>
      <c r="C46" s="199">
        <f>IF(ISBLANK('Electric old'!G46),"-",'Electric old'!G46)</f>
        <v>123.93332579999999</v>
      </c>
      <c r="D46" s="199">
        <f>IF(ISBLANK(2/24*('Gas Old'!$H$7+'Gas Old'!$H$16)),"-",2/24*('Gas Old'!$H$7+'Gas Old'!$H$16))</f>
        <v>149.46988333333331</v>
      </c>
      <c r="E46" s="199">
        <f>IF(ISBLANK('Water Old'!G46),"-",'Water Old'!G46)</f>
        <v>1.10566115328</v>
      </c>
      <c r="F46" s="199">
        <f t="shared" si="7"/>
        <v>274.50887028661327</v>
      </c>
      <c r="G46" s="201">
        <f t="shared" si="8"/>
        <v>1713.4227568445406</v>
      </c>
    </row>
    <row r="47" spans="1:7" x14ac:dyDescent="0.2">
      <c r="A47" s="236"/>
      <c r="B47" s="48" t="str">
        <f t="shared" si="2"/>
        <v>August</v>
      </c>
      <c r="C47" s="199">
        <f>IF(ISBLANK('Electric old'!G47),"-",'Electric old'!G47)</f>
        <v>100.71468</v>
      </c>
      <c r="D47" s="199">
        <f>IF(ISBLANK(2/24*('Gas Old'!$H$8+'Gas Old'!$H$17)),"-",2/24*('Gas Old'!$H$8+'Gas Old'!$H$17))</f>
        <v>184.43542916666664</v>
      </c>
      <c r="E47" s="199">
        <f>IF(ISBLANK('Water Old'!G47),"-",'Water Old'!G47)</f>
        <v>25.802896722005002</v>
      </c>
      <c r="F47" s="199">
        <f t="shared" si="7"/>
        <v>310.95300588867167</v>
      </c>
      <c r="G47" s="201">
        <f t="shared" si="8"/>
        <v>2024.3757627332122</v>
      </c>
    </row>
    <row r="48" spans="1:7" x14ac:dyDescent="0.2">
      <c r="A48" s="236"/>
      <c r="B48" s="48" t="str">
        <f t="shared" si="2"/>
        <v>September</v>
      </c>
      <c r="C48" s="199">
        <f>IF(ISBLANK('Electric old'!G48),"-",'Electric old'!G48)</f>
        <v>116.64240000000001</v>
      </c>
      <c r="D48" s="199">
        <f>IF(ISBLANK(2/24*('Gas Old'!$H9+'Gas Old'!$H18)),"-",2/24*('Gas Old'!$H9+'Gas Old'!$H18))</f>
        <v>264.1431</v>
      </c>
      <c r="E48" s="199">
        <f>IF(ISBLANK('Water Old'!G48),"-",'Water Old'!G48)</f>
        <v>69.693882396599875</v>
      </c>
      <c r="F48" s="199">
        <f t="shared" si="7"/>
        <v>450.47938239659987</v>
      </c>
      <c r="G48" s="201">
        <f t="shared" si="8"/>
        <v>2474.8551451298122</v>
      </c>
    </row>
    <row r="49" spans="1:7" x14ac:dyDescent="0.2">
      <c r="A49" s="236"/>
      <c r="B49" s="48" t="str">
        <f t="shared" si="2"/>
        <v>October</v>
      </c>
      <c r="C49" s="199">
        <f>IF(ISBLANK('Electric old'!G49),"-",'Electric old'!G49)</f>
        <v>139.1104</v>
      </c>
      <c r="D49" s="199">
        <f>IF(ISBLANK(2/24*('Gas Old'!$H10+'Gas Old'!$H19)),"-",2/24*('Gas Old'!$H10+'Gas Old'!$H19))</f>
        <v>395.47924999999992</v>
      </c>
      <c r="E49" s="199">
        <f>IF(ISBLANK('Water Old'!G49),"-",'Water Old'!G49)</f>
        <v>114.3779006</v>
      </c>
      <c r="F49" s="199">
        <f>SUM(C49:E49)</f>
        <v>648.96755059999987</v>
      </c>
      <c r="G49" s="201">
        <f>F49+G48</f>
        <v>3123.822695729812</v>
      </c>
    </row>
    <row r="50" spans="1:7" x14ac:dyDescent="0.2">
      <c r="A50" s="236"/>
      <c r="B50" s="48" t="str">
        <f t="shared" si="2"/>
        <v>November</v>
      </c>
      <c r="C50" s="199">
        <f>IF(ISBLANK('Electric old'!G50),"-",'Electric old'!G50)</f>
        <v>48.311300000000003</v>
      </c>
      <c r="D50" s="199">
        <f>IF(ISBLANK(2/24*('Gas Old'!$H11+'Gas Old'!$H20)),"-",2/24*('Gas Old'!$H11+'Gas Old'!$H20))</f>
        <v>379.0139416666666</v>
      </c>
      <c r="E50" s="199">
        <f>IF(ISBLANK('Water Old'!G50),"-",'Water Old'!G50)</f>
        <v>62.744669999999999</v>
      </c>
      <c r="F50" s="199">
        <f>SUM(C50:E50)</f>
        <v>490.0699116666666</v>
      </c>
      <c r="G50" s="201">
        <f>F50+G49</f>
        <v>3613.8926073964785</v>
      </c>
    </row>
    <row r="51" spans="1:7" x14ac:dyDescent="0.2">
      <c r="A51" s="236"/>
      <c r="B51" s="48" t="str">
        <f t="shared" si="2"/>
        <v>December</v>
      </c>
      <c r="C51" s="199">
        <f>IF(ISBLANK('Electric old'!G51),"-",'Electric old'!G51)</f>
        <v>51.525450897072709</v>
      </c>
      <c r="D51" s="199">
        <f>IF(ISBLANK(2/24*('Gas Old'!$H12+'Gas Old'!$H21)),"-",2/24*('Gas Old'!$H12+'Gas Old'!$H21))</f>
        <v>469.71095318246381</v>
      </c>
      <c r="E51" s="199">
        <f>IF(ISBLANK('Water Old'!G51),"-",'Water Old'!G51)</f>
        <v>44.600234274327953</v>
      </c>
      <c r="F51" s="199">
        <f>SUM(C51:E51)</f>
        <v>565.83663835386449</v>
      </c>
      <c r="G51" s="201">
        <f>F51+G50</f>
        <v>4179.7292457503427</v>
      </c>
    </row>
    <row r="52" spans="1:7" x14ac:dyDescent="0.2">
      <c r="A52" s="236" t="s">
        <v>71</v>
      </c>
      <c r="B52" s="48" t="str">
        <f t="shared" si="2"/>
        <v>January</v>
      </c>
      <c r="C52" s="199">
        <f>IF(ISBLANK('Electric old'!G52),"-",'Electric old'!G52)</f>
        <v>976.56297335342731</v>
      </c>
      <c r="D52" s="200" t="s">
        <v>85</v>
      </c>
      <c r="E52" s="199" t="str">
        <f>IF(ISBLANK('Water Old'!G52),"-",'Water Old'!G52)</f>
        <v>-</v>
      </c>
      <c r="F52" s="200" t="s">
        <v>85</v>
      </c>
      <c r="G52" s="200" t="s">
        <v>85</v>
      </c>
    </row>
    <row r="53" spans="1:7" x14ac:dyDescent="0.2">
      <c r="A53" s="236"/>
      <c r="B53" s="48" t="str">
        <f t="shared" si="2"/>
        <v>February</v>
      </c>
      <c r="C53" s="199">
        <f>IF(ISBLANK('Electric old'!G53),"-",'Electric old'!G53)</f>
        <v>1999.4624031473627</v>
      </c>
      <c r="D53" s="200" t="s">
        <v>85</v>
      </c>
      <c r="E53" s="199" t="str">
        <f>IF(ISBLANK('Water Old'!G53),"-",'Water Old'!G53)</f>
        <v>-</v>
      </c>
      <c r="F53" s="200" t="s">
        <v>85</v>
      </c>
      <c r="G53" s="200" t="s">
        <v>85</v>
      </c>
    </row>
    <row r="54" spans="1:7" x14ac:dyDescent="0.2">
      <c r="A54" s="236"/>
      <c r="B54" s="48" t="str">
        <f t="shared" si="2"/>
        <v>March</v>
      </c>
      <c r="C54" s="199">
        <f>IF(ISBLANK('Electric old'!G54),"-",'Electric old'!G54)</f>
        <v>1398.4628</v>
      </c>
      <c r="D54" s="200" t="s">
        <v>85</v>
      </c>
      <c r="E54" s="199" t="str">
        <f>IF(ISBLANK('Water Old'!G54),"-",'Water Old'!G54)</f>
        <v>-</v>
      </c>
      <c r="F54" s="199">
        <f t="shared" ref="F54:F60" si="9">SUM(C54:E54)</f>
        <v>1398.4628</v>
      </c>
      <c r="G54" s="201">
        <f>F54</f>
        <v>1398.4628</v>
      </c>
    </row>
    <row r="55" spans="1:7" x14ac:dyDescent="0.2">
      <c r="A55" s="236"/>
      <c r="B55" s="48" t="str">
        <f t="shared" si="2"/>
        <v>April</v>
      </c>
      <c r="C55" s="199">
        <f>IF(ISBLANK('Electric old'!G55),"-",'Electric old'!G55)</f>
        <v>1690.17471</v>
      </c>
      <c r="D55" s="199">
        <f>IF(ISBLANK(2/24*('Gas Old'!$H$4+'Gas Old'!$H$13)),"-",2/24*('Gas Old'!$H$4+'Gas Old'!$H$13))</f>
        <v>472.90451999999993</v>
      </c>
      <c r="E55" s="199">
        <f>IF(ISBLANK('Water Old'!G55),"-",'Water Old'!G55)</f>
        <v>64.200084136000001</v>
      </c>
      <c r="F55" s="199">
        <f t="shared" si="9"/>
        <v>2227.2793141359998</v>
      </c>
      <c r="G55" s="201">
        <f t="shared" ref="G55:G60" si="10">F55+G54</f>
        <v>3625.7421141360001</v>
      </c>
    </row>
    <row r="56" spans="1:7" x14ac:dyDescent="0.2">
      <c r="A56" s="236"/>
      <c r="B56" s="48" t="str">
        <f t="shared" si="2"/>
        <v>May</v>
      </c>
      <c r="C56" s="199">
        <f>IF(ISBLANK('Electric old'!G56),"-",'Electric old'!G56)</f>
        <v>1422.6105600000001</v>
      </c>
      <c r="D56" s="199">
        <f>IF(ISBLANK(2/24*('Gas Old'!$H$5+'Gas Old'!$H$14)),"-",2/24*('Gas Old'!$H$5+'Gas Old'!$H$14))</f>
        <v>308.23301999999995</v>
      </c>
      <c r="E56" s="199">
        <f>IF(ISBLANK('Water Old'!G56),"-",'Water Old'!G56)</f>
        <v>54.265040184630394</v>
      </c>
      <c r="F56" s="199">
        <f t="shared" si="9"/>
        <v>1785.1086201846304</v>
      </c>
      <c r="G56" s="201">
        <f t="shared" si="10"/>
        <v>5410.8507343206302</v>
      </c>
    </row>
    <row r="57" spans="1:7" x14ac:dyDescent="0.2">
      <c r="A57" s="236"/>
      <c r="B57" s="48" t="str">
        <f t="shared" si="2"/>
        <v>June</v>
      </c>
      <c r="C57" s="199">
        <f>IF(ISBLANK('Electric old'!G57),"-",'Electric old'!G57)</f>
        <v>510.51220683999998</v>
      </c>
      <c r="D57" s="199">
        <f>IF(ISBLANK(2/24*('Gas Old'!$H$6+'Gas Old'!$H$15)),"-",2/24*('Gas Old'!$H$6+'Gas Old'!$H$15))</f>
        <v>144.91698</v>
      </c>
      <c r="E57" s="199">
        <f>IF(ISBLANK('Water Old'!G57),"-",'Water Old'!G57)</f>
        <v>0.35188423859519996</v>
      </c>
      <c r="F57" s="199">
        <f t="shared" si="9"/>
        <v>655.78107107859512</v>
      </c>
      <c r="G57" s="201">
        <f t="shared" si="10"/>
        <v>6066.6318053992254</v>
      </c>
    </row>
    <row r="58" spans="1:7" x14ac:dyDescent="0.2">
      <c r="A58" s="236"/>
      <c r="B58" s="48" t="str">
        <f t="shared" si="2"/>
        <v>July</v>
      </c>
      <c r="C58" s="199">
        <f>IF(ISBLANK('Electric old'!G58),"-",'Electric old'!G58)</f>
        <v>601.74575372000004</v>
      </c>
      <c r="D58" s="199">
        <f>IF(ISBLANK(2/24*('Gas Old'!$H$7+'Gas Old'!$H$16)),"-",2/24*('Gas Old'!$H$7+'Gas Old'!$H$16))</f>
        <v>149.46988333333331</v>
      </c>
      <c r="E58" s="199">
        <f>IF(ISBLANK('Water Old'!G58),"-",'Water Old'!G58)</f>
        <v>8.2463894348799993</v>
      </c>
      <c r="F58" s="199">
        <f t="shared" si="9"/>
        <v>759.46202648821338</v>
      </c>
      <c r="G58" s="201">
        <f t="shared" si="10"/>
        <v>6826.0938318874387</v>
      </c>
    </row>
    <row r="59" spans="1:7" x14ac:dyDescent="0.2">
      <c r="A59" s="236"/>
      <c r="B59" s="48" t="str">
        <f t="shared" si="2"/>
        <v>August</v>
      </c>
      <c r="C59" s="199">
        <f>IF(ISBLANK('Electric old'!G59),"-",'Electric old'!G59)</f>
        <v>1293.90228</v>
      </c>
      <c r="D59" s="199">
        <f>IF(ISBLANK(2/24*('Gas Old'!$H$8+'Gas Old'!$H$17)),"-",2/24*('Gas Old'!$H$8+'Gas Old'!$H$17))</f>
        <v>184.43542916666664</v>
      </c>
      <c r="E59" s="199">
        <f>IF(ISBLANK('Water Old'!G59),"-",'Water Old'!G59)</f>
        <v>95.497878815336406</v>
      </c>
      <c r="F59" s="199">
        <f t="shared" si="9"/>
        <v>1573.8355879820031</v>
      </c>
      <c r="G59" s="201">
        <f t="shared" si="10"/>
        <v>8399.9294198694424</v>
      </c>
    </row>
    <row r="60" spans="1:7" x14ac:dyDescent="0.2">
      <c r="A60" s="236"/>
      <c r="B60" s="48" t="str">
        <f t="shared" si="2"/>
        <v>September</v>
      </c>
      <c r="C60" s="199">
        <f>IF(ISBLANK('Electric old'!G60),"-",'Electric old'!G60)</f>
        <v>1950.3576</v>
      </c>
      <c r="D60" s="199">
        <f>IF(ISBLANK(2/24*('Gas Old'!$H9+'Gas Old'!$H18)),"-",2/24*('Gas Old'!$H9+'Gas Old'!$H18))</f>
        <v>264.1431</v>
      </c>
      <c r="E60" s="199">
        <f>IF(ISBLANK('Water Old'!G60),"-",'Water Old'!G60)</f>
        <v>79.669031153368522</v>
      </c>
      <c r="F60" s="199">
        <f t="shared" si="9"/>
        <v>2294.1697311533685</v>
      </c>
      <c r="G60" s="201">
        <f t="shared" si="10"/>
        <v>10694.09915102281</v>
      </c>
    </row>
    <row r="61" spans="1:7" x14ac:dyDescent="0.2">
      <c r="A61" s="236"/>
      <c r="B61" s="48" t="str">
        <f t="shared" si="2"/>
        <v>October</v>
      </c>
      <c r="C61" s="199">
        <f>IF(ISBLANK('Electric old'!G61),"-",'Electric old'!G61)</f>
        <v>2738.9648000000002</v>
      </c>
      <c r="D61" s="199">
        <f>IF(ISBLANK(2/24*('Gas Old'!$H10+'Gas Old'!$H19)),"-",2/24*('Gas Old'!$H10+'Gas Old'!$H19))</f>
        <v>395.47924999999992</v>
      </c>
      <c r="E61" s="199">
        <f>IF(ISBLANK('Water Old'!G61),"-",'Water Old'!G61)</f>
        <v>118.98357424000001</v>
      </c>
      <c r="F61" s="199">
        <f>SUM(C61:E61)</f>
        <v>3253.4276242400001</v>
      </c>
      <c r="G61" s="201">
        <f>F61+G60</f>
        <v>13947.52677526281</v>
      </c>
    </row>
    <row r="62" spans="1:7" x14ac:dyDescent="0.2">
      <c r="A62" s="236"/>
      <c r="B62" s="48" t="str">
        <f t="shared" si="2"/>
        <v>November</v>
      </c>
      <c r="C62" s="199">
        <f>IF(ISBLANK('Electric old'!G62),"-",'Electric old'!G62)</f>
        <v>1016.0554000000001</v>
      </c>
      <c r="D62" s="199">
        <f>IF(ISBLANK(2/24*('Gas Old'!$H11+'Gas Old'!$H20)),"-",2/24*('Gas Old'!$H11+'Gas Old'!$H20))</f>
        <v>379.0139416666666</v>
      </c>
      <c r="E62" s="199">
        <f>IF(ISBLANK('Water Old'!G62),"-",'Water Old'!G62)</f>
        <v>57.989812799999996</v>
      </c>
      <c r="F62" s="199">
        <f>SUM(C62:E62)</f>
        <v>1453.0591544666668</v>
      </c>
      <c r="G62" s="201">
        <f>F62+G61</f>
        <v>15400.585929729477</v>
      </c>
    </row>
    <row r="63" spans="1:7" x14ac:dyDescent="0.2">
      <c r="A63" s="236"/>
      <c r="B63" s="48" t="str">
        <f t="shared" si="2"/>
        <v>December</v>
      </c>
      <c r="C63" s="199">
        <f>IF(ISBLANK('Electric old'!G63),"-",'Electric old'!G63)</f>
        <v>881.10335310434368</v>
      </c>
      <c r="D63" s="199">
        <f>IF(ISBLANK(2/24*('Gas Old'!$H12+'Gas Old'!$H21)),"-",2/24*('Gas Old'!$H12+'Gas Old'!$H21))</f>
        <v>469.71095318246381</v>
      </c>
      <c r="E63" s="199">
        <f>IF(ISBLANK('Water Old'!G63),"-",'Water Old'!G63)</f>
        <v>38.531847636878091</v>
      </c>
      <c r="F63" s="199">
        <f>SUM(C63:E63)</f>
        <v>1389.3461539236857</v>
      </c>
      <c r="G63" s="201">
        <f>F63+G62</f>
        <v>16789.932083653162</v>
      </c>
    </row>
    <row r="64" spans="1:7" x14ac:dyDescent="0.2">
      <c r="A64" s="236" t="s">
        <v>72</v>
      </c>
      <c r="B64" s="48" t="str">
        <f t="shared" si="2"/>
        <v>January</v>
      </c>
      <c r="C64" s="199">
        <f>IF(ISBLANK('Electric old'!G64),"-",'Electric old'!G64)</f>
        <v>106.96775251312455</v>
      </c>
      <c r="D64" s="200" t="s">
        <v>85</v>
      </c>
      <c r="E64" s="199" t="str">
        <f>IF(ISBLANK('Water Old'!G64),"-",'Water Old'!G64)</f>
        <v>-</v>
      </c>
      <c r="F64" s="200" t="s">
        <v>85</v>
      </c>
      <c r="G64" s="200" t="s">
        <v>85</v>
      </c>
    </row>
    <row r="65" spans="1:7" x14ac:dyDescent="0.2">
      <c r="A65" s="236"/>
      <c r="B65" s="48" t="str">
        <f t="shared" si="2"/>
        <v>February</v>
      </c>
      <c r="C65" s="199">
        <f>IF(ISBLANK('Electric old'!G65),"-",'Electric old'!G65)</f>
        <v>151.95798559870008</v>
      </c>
      <c r="D65" s="200" t="s">
        <v>85</v>
      </c>
      <c r="E65" s="199" t="str">
        <f>IF(ISBLANK('Water Old'!G65),"-",'Water Old'!G65)</f>
        <v>-</v>
      </c>
      <c r="F65" s="200" t="s">
        <v>85</v>
      </c>
      <c r="G65" s="200" t="s">
        <v>85</v>
      </c>
    </row>
    <row r="66" spans="1:7" x14ac:dyDescent="0.2">
      <c r="A66" s="236"/>
      <c r="B66" s="48" t="str">
        <f t="shared" si="2"/>
        <v>March</v>
      </c>
      <c r="C66" s="199">
        <f>IF(ISBLANK('Electric old'!G66),"-",'Electric old'!G66)</f>
        <v>83.510559999999998</v>
      </c>
      <c r="D66" s="200" t="s">
        <v>85</v>
      </c>
      <c r="E66" s="199" t="str">
        <f>IF(ISBLANK('Water Old'!G66),"-",'Water Old'!G66)</f>
        <v>-</v>
      </c>
      <c r="F66" s="199">
        <f t="shared" ref="F66:F72" si="11">SUM(C66:E66)</f>
        <v>83.510559999999998</v>
      </c>
      <c r="G66" s="201">
        <f>F66</f>
        <v>83.510559999999998</v>
      </c>
    </row>
    <row r="67" spans="1:7" x14ac:dyDescent="0.2">
      <c r="A67" s="236"/>
      <c r="B67" s="48" t="str">
        <f t="shared" si="2"/>
        <v>April</v>
      </c>
      <c r="C67" s="199">
        <f>IF(ISBLANK('Electric old'!G67),"-",'Electric old'!G67)</f>
        <v>97.350120000000004</v>
      </c>
      <c r="D67" s="199">
        <f>IF(ISBLANK(2/24*('Gas Old'!$H$4+'Gas Old'!$H$13)),"-",2/24*('Gas Old'!$H$4+'Gas Old'!$H$13))</f>
        <v>472.90451999999993</v>
      </c>
      <c r="E67" s="199">
        <f>IF(ISBLANK('Water Old'!G67),"-",'Water Old'!G67)</f>
        <v>64.200084136000001</v>
      </c>
      <c r="F67" s="199">
        <f t="shared" si="11"/>
        <v>634.45472413599987</v>
      </c>
      <c r="G67" s="201">
        <f t="shared" ref="G67:G72" si="12">F67+G66</f>
        <v>717.96528413599981</v>
      </c>
    </row>
    <row r="68" spans="1:7" x14ac:dyDescent="0.2">
      <c r="A68" s="236"/>
      <c r="B68" s="48" t="str">
        <f t="shared" si="2"/>
        <v>May</v>
      </c>
      <c r="C68" s="199">
        <f>IF(ISBLANK('Electric old'!G68),"-",'Electric old'!G68)</f>
        <v>118.17792</v>
      </c>
      <c r="D68" s="199">
        <f>IF(ISBLANK(2/24*('Gas Old'!$H$5+'Gas Old'!$H$14)),"-",2/24*('Gas Old'!$H$5+'Gas Old'!$H$14))</f>
        <v>308.23301999999995</v>
      </c>
      <c r="E68" s="199">
        <f>IF(ISBLANK('Water Old'!G68),"-",'Water Old'!G68)</f>
        <v>54.265040184630394</v>
      </c>
      <c r="F68" s="199">
        <f t="shared" si="11"/>
        <v>480.67598018463036</v>
      </c>
      <c r="G68" s="201">
        <f t="shared" si="12"/>
        <v>1198.6412643206302</v>
      </c>
    </row>
    <row r="69" spans="1:7" x14ac:dyDescent="0.2">
      <c r="A69" s="236"/>
      <c r="B69" s="48" t="str">
        <f t="shared" si="2"/>
        <v>June</v>
      </c>
      <c r="C69" s="199">
        <f>IF(ISBLANK('Electric old'!G69),"-",'Electric old'!G69)</f>
        <v>115.67110407999999</v>
      </c>
      <c r="D69" s="199">
        <f>IF(ISBLANK(2/24*('Gas Old'!$H$6+'Gas Old'!$H$15)),"-",2/24*('Gas Old'!$H$6+'Gas Old'!$H$15))</f>
        <v>144.91698</v>
      </c>
      <c r="E69" s="199">
        <f>IF(ISBLANK('Water Old'!G69),"-",'Water Old'!G69)</f>
        <v>0.35188423859519996</v>
      </c>
      <c r="F69" s="199">
        <f t="shared" si="11"/>
        <v>260.93996831859516</v>
      </c>
      <c r="G69" s="201">
        <f t="shared" si="12"/>
        <v>1459.5812326392254</v>
      </c>
    </row>
    <row r="70" spans="1:7" x14ac:dyDescent="0.2">
      <c r="A70" s="236"/>
      <c r="B70" s="48" t="str">
        <f t="shared" si="2"/>
        <v>July</v>
      </c>
      <c r="C70" s="199">
        <f>IF(ISBLANK('Electric old'!G70),"-",'Electric old'!G70)</f>
        <v>136.61758168</v>
      </c>
      <c r="D70" s="199">
        <f>IF(ISBLANK(2/24*('Gas Old'!$H$7+'Gas Old'!$H$16)),"-",2/24*('Gas Old'!$H$7+'Gas Old'!$H$16))</f>
        <v>149.46988333333331</v>
      </c>
      <c r="E70" s="199">
        <f>IF(ISBLANK('Water Old'!G70),"-",'Water Old'!G70)</f>
        <v>8.2463894348799993</v>
      </c>
      <c r="F70" s="199">
        <f t="shared" si="11"/>
        <v>294.33385444821329</v>
      </c>
      <c r="G70" s="201">
        <f t="shared" si="12"/>
        <v>1753.9150870874387</v>
      </c>
    </row>
    <row r="71" spans="1:7" x14ac:dyDescent="0.2">
      <c r="A71" s="236"/>
      <c r="B71" s="48" t="str">
        <f t="shared" si="2"/>
        <v>August</v>
      </c>
      <c r="C71" s="199">
        <f>IF(ISBLANK('Electric old'!G71),"-",'Electric old'!G71)</f>
        <v>143.89452</v>
      </c>
      <c r="D71" s="199">
        <f>IF(ISBLANK(2/24*('Gas Old'!$H$8+'Gas Old'!$H$17)),"-",2/24*('Gas Old'!$H$8+'Gas Old'!$H$17))</f>
        <v>184.43542916666664</v>
      </c>
      <c r="E71" s="199">
        <f>IF(ISBLANK('Water Old'!G71),"-",'Water Old'!G71)</f>
        <v>95.497878815336406</v>
      </c>
      <c r="F71" s="199">
        <f t="shared" si="11"/>
        <v>423.8278279820031</v>
      </c>
      <c r="G71" s="201">
        <f t="shared" si="12"/>
        <v>2177.7429150694416</v>
      </c>
    </row>
    <row r="72" spans="1:7" x14ac:dyDescent="0.2">
      <c r="A72" s="236"/>
      <c r="B72" s="48" t="str">
        <f t="shared" si="2"/>
        <v>September</v>
      </c>
      <c r="C72" s="199">
        <f>IF(ISBLANK('Electric old'!G72),"-",'Electric old'!G72)</f>
        <v>156.0744</v>
      </c>
      <c r="D72" s="199">
        <f>IF(ISBLANK(2/24*('Gas Old'!$H9+'Gas Old'!$H18)),"-",2/24*('Gas Old'!$H9+'Gas Old'!$H18))</f>
        <v>264.1431</v>
      </c>
      <c r="E72" s="199">
        <f>IF(ISBLANK('Water Old'!G72),"-",'Water Old'!G72)</f>
        <v>79.669031153368522</v>
      </c>
      <c r="F72" s="199">
        <f t="shared" si="11"/>
        <v>499.88653115336848</v>
      </c>
      <c r="G72" s="201">
        <f t="shared" si="12"/>
        <v>2677.6294462228102</v>
      </c>
    </row>
    <row r="73" spans="1:7" x14ac:dyDescent="0.2">
      <c r="A73" s="236"/>
      <c r="B73" s="48" t="str">
        <f t="shared" si="2"/>
        <v>October</v>
      </c>
      <c r="C73" s="199">
        <f>IF(ISBLANK('Electric old'!G73),"-",'Electric old'!G73)</f>
        <v>167.3672</v>
      </c>
      <c r="D73" s="199">
        <f>IF(ISBLANK(2/24*('Gas Old'!$H10+'Gas Old'!$H19)),"-",2/24*('Gas Old'!$H10+'Gas Old'!$H19))</f>
        <v>395.47924999999992</v>
      </c>
      <c r="E73" s="199">
        <f>IF(ISBLANK('Water Old'!G73),"-",'Water Old'!G73)</f>
        <v>118.98357424000001</v>
      </c>
      <c r="F73" s="199">
        <f>SUM(C73:E73)</f>
        <v>681.83002423999994</v>
      </c>
      <c r="G73" s="201">
        <f>F73+G72</f>
        <v>3359.4594704628103</v>
      </c>
    </row>
    <row r="74" spans="1:7" x14ac:dyDescent="0.2">
      <c r="A74" s="236"/>
      <c r="B74" s="48" t="str">
        <f t="shared" si="2"/>
        <v>November</v>
      </c>
      <c r="C74" s="199">
        <f>IF(ISBLANK('Electric old'!G74),"-",'Electric old'!G74)</f>
        <v>60.366800000000005</v>
      </c>
      <c r="D74" s="199">
        <f>IF(ISBLANK(2/24*('Gas Old'!$H11+'Gas Old'!$H20)),"-",2/24*('Gas Old'!$H11+'Gas Old'!$H20))</f>
        <v>379.0139416666666</v>
      </c>
      <c r="E74" s="199">
        <f>IF(ISBLANK('Water Old'!G74),"-",'Water Old'!G74)</f>
        <v>57.989812799999996</v>
      </c>
      <c r="F74" s="199">
        <f>SUM(C74:E74)</f>
        <v>497.37055446666659</v>
      </c>
      <c r="G74" s="201">
        <f>F74+G73</f>
        <v>3856.8300249294771</v>
      </c>
    </row>
    <row r="75" spans="1:7" x14ac:dyDescent="0.2">
      <c r="A75" s="236"/>
      <c r="B75" s="48" t="str">
        <f t="shared" si="2"/>
        <v>December</v>
      </c>
      <c r="C75" s="199">
        <f>IF(ISBLANK('Electric old'!G75),"-",'Electric old'!G75)</f>
        <v>101.78090828611897</v>
      </c>
      <c r="D75" s="199">
        <f>IF(ISBLANK(2/24*('Gas Old'!$H12+'Gas Old'!$H21)),"-",2/24*('Gas Old'!$H12+'Gas Old'!$H21))</f>
        <v>469.71095318246381</v>
      </c>
      <c r="E75" s="199">
        <f>IF(ISBLANK('Water Old'!G75),"-",'Water Old'!G75)</f>
        <v>38.531847636878091</v>
      </c>
      <c r="F75" s="199">
        <f>SUM(C75:E75)</f>
        <v>610.02370910546085</v>
      </c>
      <c r="G75" s="201">
        <f>F75+G74</f>
        <v>4466.8537340349376</v>
      </c>
    </row>
    <row r="76" spans="1:7" x14ac:dyDescent="0.2">
      <c r="A76" s="236" t="s">
        <v>73</v>
      </c>
      <c r="B76" s="48" t="str">
        <f t="shared" si="2"/>
        <v>January</v>
      </c>
      <c r="C76" s="199">
        <f>IF(ISBLANK('Electric old'!G76),"-",'Electric old'!G76)</f>
        <v>154.48949174436515</v>
      </c>
      <c r="D76" s="200" t="s">
        <v>85</v>
      </c>
      <c r="E76" s="199" t="str">
        <f>IF(ISBLANK('Water Old'!G76),"-",'Water Old'!G76)</f>
        <v>-</v>
      </c>
      <c r="F76" s="200" t="s">
        <v>85</v>
      </c>
      <c r="G76" s="200" t="s">
        <v>85</v>
      </c>
    </row>
    <row r="77" spans="1:7" x14ac:dyDescent="0.2">
      <c r="A77" s="236"/>
      <c r="B77" s="48" t="str">
        <f t="shared" si="2"/>
        <v>February</v>
      </c>
      <c r="C77" s="199">
        <f>IF(ISBLANK('Electric old'!G77),"-",'Electric old'!G77)</f>
        <v>311.43673444403635</v>
      </c>
      <c r="D77" s="200" t="s">
        <v>85</v>
      </c>
      <c r="E77" s="199" t="str">
        <f>IF(ISBLANK('Water Old'!G77),"-",'Water Old'!G77)</f>
        <v>-</v>
      </c>
      <c r="F77" s="200" t="s">
        <v>85</v>
      </c>
      <c r="G77" s="200" t="s">
        <v>85</v>
      </c>
    </row>
    <row r="78" spans="1:7" x14ac:dyDescent="0.2">
      <c r="A78" s="236"/>
      <c r="B78" s="48" t="str">
        <f t="shared" si="2"/>
        <v>March</v>
      </c>
      <c r="C78" s="199">
        <f>IF(ISBLANK('Electric old'!G78),"-",'Electric old'!G78)</f>
        <v>219.23943999999997</v>
      </c>
      <c r="D78" s="200" t="s">
        <v>85</v>
      </c>
      <c r="E78" s="199" t="str">
        <f>IF(ISBLANK('Water Old'!G78),"-",'Water Old'!G78)</f>
        <v>-</v>
      </c>
      <c r="F78" s="199">
        <f t="shared" ref="F78:F84" si="13">SUM(C78:E78)</f>
        <v>219.23943999999997</v>
      </c>
      <c r="G78" s="201">
        <f>F78</f>
        <v>219.23943999999997</v>
      </c>
    </row>
    <row r="79" spans="1:7" x14ac:dyDescent="0.2">
      <c r="A79" s="236"/>
      <c r="B79" s="48" t="str">
        <f t="shared" si="2"/>
        <v>April</v>
      </c>
      <c r="C79" s="199">
        <f>IF(ISBLANK('Electric old'!G79),"-",'Electric old'!G79)</f>
        <v>255.59541000000002</v>
      </c>
      <c r="D79" s="199">
        <f>IF(ISBLANK(1/24*('Gas Old'!$H$4+'Gas Old'!$H$13)),"-",1/24*('Gas Old'!$H$4+'Gas Old'!$H$13))</f>
        <v>236.45225999999997</v>
      </c>
      <c r="E79" s="199">
        <f>IF(ISBLANK('Water Old'!G79),"-",'Water Old'!G79)</f>
        <v>64.200084136000001</v>
      </c>
      <c r="F79" s="199">
        <f t="shared" si="13"/>
        <v>556.24775413600003</v>
      </c>
      <c r="G79" s="201">
        <f t="shared" ref="G79:G84" si="14">F79+G78</f>
        <v>775.48719413599997</v>
      </c>
    </row>
    <row r="80" spans="1:7" x14ac:dyDescent="0.2">
      <c r="A80" s="236"/>
      <c r="B80" s="48" t="str">
        <f t="shared" si="2"/>
        <v>May</v>
      </c>
      <c r="C80" s="199">
        <f>IF(ISBLANK('Electric old'!G80),"-",'Electric old'!G80)</f>
        <v>223.1712</v>
      </c>
      <c r="D80" s="199">
        <f>IF(ISBLANK(1/24*('Gas Old'!$H$5+'Gas Old'!$H$14)),"-",1/24*('Gas Old'!$H$5+'Gas Old'!$H$14))</f>
        <v>154.11650999999998</v>
      </c>
      <c r="E80" s="199">
        <f>IF(ISBLANK('Water Old'!G80),"-",'Water Old'!G80)</f>
        <v>54.265040184630394</v>
      </c>
      <c r="F80" s="199">
        <f t="shared" si="13"/>
        <v>431.55275018463033</v>
      </c>
      <c r="G80" s="201">
        <f t="shared" si="14"/>
        <v>1207.0399443206302</v>
      </c>
    </row>
    <row r="81" spans="1:7" x14ac:dyDescent="0.2">
      <c r="A81" s="236"/>
      <c r="B81" s="48" t="str">
        <f t="shared" ref="B81:B144" si="15">B69</f>
        <v>June</v>
      </c>
      <c r="C81" s="199">
        <f>IF(ISBLANK('Electric old'!G81),"-",'Electric old'!G81)</f>
        <v>74.243626160000005</v>
      </c>
      <c r="D81" s="199">
        <f>IF(ISBLANK(1/24*('Gas Old'!$H$6+'Gas Old'!$H$15)),"-",1/24*('Gas Old'!$H$6+'Gas Old'!$H$15))</f>
        <v>72.458489999999998</v>
      </c>
      <c r="E81" s="199">
        <f>IF(ISBLANK('Water Old'!G81),"-",'Water Old'!G81)</f>
        <v>0.35188423859519996</v>
      </c>
      <c r="F81" s="199">
        <f t="shared" si="13"/>
        <v>147.05400039859521</v>
      </c>
      <c r="G81" s="201">
        <f t="shared" si="14"/>
        <v>1354.0939447192254</v>
      </c>
    </row>
    <row r="82" spans="1:7" x14ac:dyDescent="0.2">
      <c r="A82" s="236"/>
      <c r="B82" s="48" t="str">
        <f t="shared" si="15"/>
        <v>July</v>
      </c>
      <c r="C82" s="199">
        <f>IF(ISBLANK('Electric old'!G82),"-",'Electric old'!G82)</f>
        <v>159.19322976000001</v>
      </c>
      <c r="D82" s="199">
        <f>IF(ISBLANK(1/24*('Gas Old'!$H$7+'Gas Old'!$H$16)),"-",1/24*('Gas Old'!$H$7+'Gas Old'!$H$16))</f>
        <v>74.734941666666657</v>
      </c>
      <c r="E82" s="199">
        <f>IF(ISBLANK('Water Old'!G82),"-",'Water Old'!G82)</f>
        <v>8.2463894348799993</v>
      </c>
      <c r="F82" s="199">
        <f t="shared" si="13"/>
        <v>242.17456086154667</v>
      </c>
      <c r="G82" s="201">
        <f t="shared" si="14"/>
        <v>1596.2685055807722</v>
      </c>
    </row>
    <row r="83" spans="1:7" x14ac:dyDescent="0.2">
      <c r="A83" s="236"/>
      <c r="B83" s="48" t="str">
        <f t="shared" si="15"/>
        <v>August</v>
      </c>
      <c r="C83" s="199">
        <f>IF(ISBLANK('Electric old'!G83),"-",'Electric old'!G83)</f>
        <v>214.7508</v>
      </c>
      <c r="D83" s="199">
        <f>IF(ISBLANK(1/24*('Gas Old'!$H$8+'Gas Old'!$H$17)),"-",1/24*('Gas Old'!$H$8+'Gas Old'!$H$17))</f>
        <v>92.217714583333319</v>
      </c>
      <c r="E83" s="199">
        <f>IF(ISBLANK('Water Old'!G83),"-",'Water Old'!G83)</f>
        <v>95.497878815336406</v>
      </c>
      <c r="F83" s="199">
        <f t="shared" si="13"/>
        <v>402.46639339866977</v>
      </c>
      <c r="G83" s="201">
        <f t="shared" si="14"/>
        <v>1998.7348989794418</v>
      </c>
    </row>
    <row r="84" spans="1:7" x14ac:dyDescent="0.2">
      <c r="A84" s="236"/>
      <c r="B84" s="48" t="str">
        <f t="shared" si="15"/>
        <v>September</v>
      </c>
      <c r="C84" s="199">
        <f>IF(ISBLANK('Electric old'!G84),"-",'Electric old'!G84)</f>
        <v>314.31120000000004</v>
      </c>
      <c r="D84" s="199">
        <f>IF(ISBLANK(1/24*('Gas Old'!$H9+'Gas Old'!$H18)),"-",1/24*('Gas Old'!$H9+'Gas Old'!$H18))</f>
        <v>132.07155</v>
      </c>
      <c r="E84" s="199">
        <f>IF(ISBLANK('Water Old'!G84),"-",'Water Old'!G84)</f>
        <v>39.834515576684261</v>
      </c>
      <c r="F84" s="199">
        <f t="shared" si="13"/>
        <v>486.21726557668433</v>
      </c>
      <c r="G84" s="201">
        <f t="shared" si="14"/>
        <v>2484.9521645561263</v>
      </c>
    </row>
    <row r="85" spans="1:7" x14ac:dyDescent="0.2">
      <c r="A85" s="236"/>
      <c r="B85" s="48" t="str">
        <f t="shared" si="15"/>
        <v>October</v>
      </c>
      <c r="C85" s="199">
        <f>IF(ISBLANK('Electric old'!G85),"-",'Electric old'!G85)</f>
        <v>404.17520000000002</v>
      </c>
      <c r="D85" s="199">
        <f>IF(ISBLANK(1/24*('Gas Old'!$H10+'Gas Old'!$H19)),"-",1/24*('Gas Old'!$H10+'Gas Old'!$H19))</f>
        <v>197.73962499999996</v>
      </c>
      <c r="E85" s="199">
        <f>IF(ISBLANK('Water Old'!G85),"-",'Water Old'!G85)</f>
        <v>59.491787120000005</v>
      </c>
      <c r="F85" s="199">
        <f>SUM(C85:E85)</f>
        <v>661.40661211999998</v>
      </c>
      <c r="G85" s="201">
        <f>F85+G84</f>
        <v>3146.3587766761261</v>
      </c>
    </row>
    <row r="86" spans="1:7" x14ac:dyDescent="0.2">
      <c r="A86" s="236"/>
      <c r="B86" s="48" t="str">
        <f t="shared" si="15"/>
        <v>November</v>
      </c>
      <c r="C86" s="199">
        <f>IF(ISBLANK('Electric old'!G86),"-",'Electric old'!G86)</f>
        <v>154.04250000000002</v>
      </c>
      <c r="D86" s="199">
        <f>IF(ISBLANK(1/24*('Gas Old'!$H11+'Gas Old'!$H20)),"-",1/24*('Gas Old'!$H11+'Gas Old'!$H20))</f>
        <v>189.5069708333333</v>
      </c>
      <c r="E86" s="199">
        <f>IF(ISBLANK('Water Old'!G86),"-",'Water Old'!G86)</f>
        <v>28.994906399999998</v>
      </c>
      <c r="F86" s="199">
        <f>SUM(C86:E86)</f>
        <v>372.54437723333331</v>
      </c>
      <c r="G86" s="201">
        <f>F86+G85</f>
        <v>3518.9031539094594</v>
      </c>
    </row>
    <row r="87" spans="1:7" x14ac:dyDescent="0.2">
      <c r="A87" s="236"/>
      <c r="B87" s="48" t="str">
        <f t="shared" si="15"/>
        <v>December</v>
      </c>
      <c r="C87" s="199">
        <f>IF(ISBLANK('Electric old'!G87),"-",'Electric old'!G87)</f>
        <v>121.37509383852691</v>
      </c>
      <c r="D87" s="199">
        <f>IF(ISBLANK(1/24*('Gas Old'!$H12+'Gas Old'!$H21)),"-",1/24*('Gas Old'!$H12+'Gas Old'!$H21))</f>
        <v>234.85547659123191</v>
      </c>
      <c r="E87" s="199">
        <f>IF(ISBLANK('Water Old'!G87),"-",'Water Old'!G87)</f>
        <v>19.265923818439045</v>
      </c>
      <c r="F87" s="199">
        <f>SUM(C87:E87)</f>
        <v>375.49649424819785</v>
      </c>
      <c r="G87" s="201">
        <f>F87+G86</f>
        <v>3894.3996481576573</v>
      </c>
    </row>
    <row r="88" spans="1:7" x14ac:dyDescent="0.2">
      <c r="A88" s="236" t="s">
        <v>74</v>
      </c>
      <c r="B88" s="48" t="str">
        <f t="shared" si="15"/>
        <v>January</v>
      </c>
      <c r="C88" s="199">
        <f>IF(ISBLANK('Electric old'!G88),"-",'Electric old'!G88)</f>
        <v>171.06072553533281</v>
      </c>
      <c r="D88" s="200" t="s">
        <v>85</v>
      </c>
      <c r="E88" s="199" t="str">
        <f>IF(ISBLANK('Water Old'!G88),"-",'Water Old'!G88)</f>
        <v>-</v>
      </c>
      <c r="F88" s="200" t="s">
        <v>85</v>
      </c>
      <c r="G88" s="200" t="s">
        <v>85</v>
      </c>
    </row>
    <row r="89" spans="1:7" x14ac:dyDescent="0.2">
      <c r="A89" s="236"/>
      <c r="B89" s="48" t="str">
        <f t="shared" si="15"/>
        <v>February</v>
      </c>
      <c r="C89" s="199">
        <f>IF(ISBLANK('Electric old'!G89),"-",'Electric old'!G89)</f>
        <v>355.01859325787672</v>
      </c>
      <c r="D89" s="200" t="s">
        <v>85</v>
      </c>
      <c r="E89" s="199" t="str">
        <f>IF(ISBLANK('Water Old'!G89),"-",'Water Old'!G89)</f>
        <v>-</v>
      </c>
      <c r="F89" s="200" t="s">
        <v>85</v>
      </c>
      <c r="G89" s="200" t="s">
        <v>85</v>
      </c>
    </row>
    <row r="90" spans="1:7" x14ac:dyDescent="0.2">
      <c r="A90" s="236"/>
      <c r="B90" s="48" t="str">
        <f t="shared" si="15"/>
        <v>March</v>
      </c>
      <c r="C90" s="199">
        <f>IF(ISBLANK('Electric old'!G90),"-",'Electric old'!G90)</f>
        <v>251.69423999999998</v>
      </c>
      <c r="D90" s="200" t="s">
        <v>85</v>
      </c>
      <c r="E90" s="199" t="str">
        <f>IF(ISBLANK('Water Old'!G90),"-",'Water Old'!G90)</f>
        <v>-</v>
      </c>
      <c r="F90" s="199">
        <f t="shared" ref="F90:F96" si="16">SUM(C90:E90)</f>
        <v>251.69423999999998</v>
      </c>
      <c r="G90" s="201">
        <f>F90</f>
        <v>251.69423999999998</v>
      </c>
    </row>
    <row r="91" spans="1:7" x14ac:dyDescent="0.2">
      <c r="A91" s="236"/>
      <c r="B91" s="48" t="str">
        <f t="shared" si="15"/>
        <v>April</v>
      </c>
      <c r="C91" s="199">
        <f>IF(ISBLANK('Electric old'!G91),"-",'Electric old'!G91)</f>
        <v>272.64195000000001</v>
      </c>
      <c r="D91" s="199">
        <f>IF(ISBLANK(2/24*('Gas Old'!$H$4+'Gas Old'!$H$13)),"-",2/24*('Gas Old'!$H$4+'Gas Old'!$H$13))</f>
        <v>472.90451999999993</v>
      </c>
      <c r="E91" s="199">
        <f>IF(ISBLANK('Water Old'!G91),"-",'Water Old'!G91)</f>
        <v>64.200084136000001</v>
      </c>
      <c r="F91" s="199">
        <f t="shared" si="16"/>
        <v>809.74655413599999</v>
      </c>
      <c r="G91" s="201">
        <f t="shared" ref="G91:G96" si="17">F91+G90</f>
        <v>1061.440794136</v>
      </c>
    </row>
    <row r="92" spans="1:7" x14ac:dyDescent="0.2">
      <c r="A92" s="236"/>
      <c r="B92" s="48" t="str">
        <f t="shared" si="15"/>
        <v>May</v>
      </c>
      <c r="C92" s="199">
        <f>IF(ISBLANK('Electric old'!G92),"-",'Electric old'!G92)</f>
        <v>227.16288</v>
      </c>
      <c r="D92" s="199">
        <f>IF(ISBLANK(2/24*('Gas Old'!$H$5+'Gas Old'!$H$14)),"-",2/24*('Gas Old'!$H$5+'Gas Old'!$H$14))</f>
        <v>308.23301999999995</v>
      </c>
      <c r="E92" s="199">
        <f>IF(ISBLANK('Water Old'!G92),"-",'Water Old'!G92)</f>
        <v>54.265040184630394</v>
      </c>
      <c r="F92" s="199">
        <f t="shared" si="16"/>
        <v>589.66094018463036</v>
      </c>
      <c r="G92" s="201">
        <f t="shared" si="17"/>
        <v>1651.1017343206304</v>
      </c>
    </row>
    <row r="93" spans="1:7" x14ac:dyDescent="0.2">
      <c r="A93" s="236"/>
      <c r="B93" s="48" t="str">
        <f t="shared" si="15"/>
        <v>June</v>
      </c>
      <c r="C93" s="199">
        <f>IF(ISBLANK('Electric old'!G93),"-",'Electric old'!G93)</f>
        <v>63.654018039999997</v>
      </c>
      <c r="D93" s="199">
        <f>IF(ISBLANK(2/24*('Gas Old'!$H$6+'Gas Old'!$H$15)),"-",2/24*('Gas Old'!$H$6+'Gas Old'!$H$15))</f>
        <v>144.91698</v>
      </c>
      <c r="E93" s="199">
        <f>IF(ISBLANK('Water Old'!G93),"-",'Water Old'!G93)</f>
        <v>0.35188423859519996</v>
      </c>
      <c r="F93" s="199">
        <f t="shared" si="16"/>
        <v>208.92288227859521</v>
      </c>
      <c r="G93" s="201">
        <f t="shared" si="17"/>
        <v>1860.0246165992255</v>
      </c>
    </row>
    <row r="94" spans="1:7" x14ac:dyDescent="0.2">
      <c r="A94" s="236"/>
      <c r="B94" s="48" t="str">
        <f t="shared" si="15"/>
        <v>July</v>
      </c>
      <c r="C94" s="199">
        <f>IF(ISBLANK('Electric old'!G94),"-",'Electric old'!G94)</f>
        <v>111.01633128</v>
      </c>
      <c r="D94" s="199">
        <f>IF(ISBLANK(2/24*('Gas Old'!$H$7+'Gas Old'!$H$16)),"-",2/24*('Gas Old'!$H$7+'Gas Old'!$H$16))</f>
        <v>149.46988333333331</v>
      </c>
      <c r="E94" s="199">
        <f>IF(ISBLANK('Water Old'!G94),"-",'Water Old'!G94)</f>
        <v>8.2463894348799993</v>
      </c>
      <c r="F94" s="199">
        <f t="shared" si="16"/>
        <v>268.73260404821332</v>
      </c>
      <c r="G94" s="201">
        <f t="shared" si="17"/>
        <v>2128.7572206474388</v>
      </c>
    </row>
    <row r="95" spans="1:7" x14ac:dyDescent="0.2">
      <c r="A95" s="236"/>
      <c r="B95" s="48" t="str">
        <f t="shared" si="15"/>
        <v>August</v>
      </c>
      <c r="C95" s="199">
        <f>IF(ISBLANK('Electric old'!G95),"-",'Electric old'!G95)</f>
        <v>143.77967999999998</v>
      </c>
      <c r="D95" s="199">
        <f>IF(ISBLANK(2/24*('Gas Old'!$H$8+'Gas Old'!$H$17)),"-",2/24*('Gas Old'!$H$8+'Gas Old'!$H$17))</f>
        <v>184.43542916666664</v>
      </c>
      <c r="E95" s="199">
        <f>IF(ISBLANK('Water Old'!G95),"-",'Water Old'!G95)</f>
        <v>95.497878815336406</v>
      </c>
      <c r="F95" s="199">
        <f t="shared" si="16"/>
        <v>423.71298798200303</v>
      </c>
      <c r="G95" s="201">
        <f t="shared" si="17"/>
        <v>2552.4702086294419</v>
      </c>
    </row>
    <row r="96" spans="1:7" x14ac:dyDescent="0.2">
      <c r="A96" s="236"/>
      <c r="B96" s="48" t="str">
        <f t="shared" si="15"/>
        <v>September</v>
      </c>
      <c r="C96" s="199">
        <f>IF(ISBLANK('Electric old'!G96),"-",'Electric old'!G96)</f>
        <v>220.56480000000002</v>
      </c>
      <c r="D96" s="199">
        <f>IF(ISBLANK(2/24*('Gas Old'!$H9+'Gas Old'!$H18)),"-",2/24*('Gas Old'!$H9+'Gas Old'!$H18))</f>
        <v>264.1431</v>
      </c>
      <c r="E96" s="199">
        <f>IF(ISBLANK('Water Old'!G96),"-",'Water Old'!G96)</f>
        <v>79.669031153368522</v>
      </c>
      <c r="F96" s="199">
        <f t="shared" si="16"/>
        <v>564.37693115336856</v>
      </c>
      <c r="G96" s="201">
        <f t="shared" si="17"/>
        <v>3116.8471397828107</v>
      </c>
    </row>
    <row r="97" spans="1:7" x14ac:dyDescent="0.2">
      <c r="A97" s="236"/>
      <c r="B97" s="48" t="str">
        <f t="shared" si="15"/>
        <v>October</v>
      </c>
      <c r="C97" s="199">
        <f>IF(ISBLANK('Electric old'!G97),"-",'Electric old'!G97)</f>
        <v>319.51920000000001</v>
      </c>
      <c r="D97" s="199">
        <f>IF(ISBLANK(2/24*('Gas Old'!$H10+'Gas Old'!$H19)),"-",2/24*('Gas Old'!$H10+'Gas Old'!$H19))</f>
        <v>395.47924999999992</v>
      </c>
      <c r="E97" s="199">
        <f>IF(ISBLANK('Water Old'!G97),"-",'Water Old'!G97)</f>
        <v>118.98357424000001</v>
      </c>
      <c r="F97" s="199">
        <f>SUM(C97:E97)</f>
        <v>833.98202423999999</v>
      </c>
      <c r="G97" s="201">
        <f>F97+G96</f>
        <v>3950.8291640228108</v>
      </c>
    </row>
    <row r="98" spans="1:7" x14ac:dyDescent="0.2">
      <c r="A98" s="236"/>
      <c r="B98" s="48" t="str">
        <f t="shared" si="15"/>
        <v>November</v>
      </c>
      <c r="C98" s="199">
        <f>IF(ISBLANK('Electric old'!G98),"-",'Electric old'!G98)</f>
        <v>110.10690000000001</v>
      </c>
      <c r="D98" s="199">
        <f>IF(ISBLANK(2/24*('Gas Old'!$H11+'Gas Old'!$H20)),"-",2/24*('Gas Old'!$H11+'Gas Old'!$H20))</f>
        <v>379.0139416666666</v>
      </c>
      <c r="E98" s="199">
        <f>IF(ISBLANK('Water Old'!G98),"-",'Water Old'!G98)</f>
        <v>57.989812799999996</v>
      </c>
      <c r="F98" s="199">
        <f>SUM(C98:E98)</f>
        <v>547.11065446666657</v>
      </c>
      <c r="G98" s="201">
        <f>F98+G97</f>
        <v>4497.9398184894771</v>
      </c>
    </row>
    <row r="99" spans="1:7" x14ac:dyDescent="0.2">
      <c r="A99" s="236"/>
      <c r="B99" s="48" t="str">
        <f t="shared" si="15"/>
        <v>December</v>
      </c>
      <c r="C99" s="199">
        <f>IF(ISBLANK('Electric old'!G99),"-",'Electric old'!G99)</f>
        <v>102.4159050401322</v>
      </c>
      <c r="D99" s="199">
        <f>IF(ISBLANK(2/24*('Gas Old'!$H12+'Gas Old'!$H21)),"-",2/24*('Gas Old'!$H12+'Gas Old'!$H21))</f>
        <v>469.71095318246381</v>
      </c>
      <c r="E99" s="199">
        <f>IF(ISBLANK('Water Old'!G99),"-",'Water Old'!G99)</f>
        <v>38.531847636878091</v>
      </c>
      <c r="F99" s="199">
        <f>SUM(C99:E99)</f>
        <v>610.65870585947403</v>
      </c>
      <c r="G99" s="201">
        <f>F99+G98</f>
        <v>5108.5985243489513</v>
      </c>
    </row>
    <row r="100" spans="1:7" x14ac:dyDescent="0.2">
      <c r="A100" s="236" t="s">
        <v>75</v>
      </c>
      <c r="B100" s="48" t="str">
        <f t="shared" si="15"/>
        <v>January</v>
      </c>
      <c r="C100" s="199">
        <f>IF(ISBLANK('Electric old'!G100),"-",'Electric old'!G100)</f>
        <v>205.34301343093256</v>
      </c>
      <c r="D100" s="200" t="s">
        <v>85</v>
      </c>
      <c r="E100" s="199" t="str">
        <f>IF(ISBLANK('Water Old'!G100),"-",'Water Old'!G100)</f>
        <v>-</v>
      </c>
      <c r="F100" s="200" t="s">
        <v>85</v>
      </c>
      <c r="G100" s="200" t="s">
        <v>85</v>
      </c>
    </row>
    <row r="101" spans="1:7" x14ac:dyDescent="0.2">
      <c r="A101" s="236"/>
      <c r="B101" s="48" t="str">
        <f t="shared" si="15"/>
        <v>February</v>
      </c>
      <c r="C101" s="199">
        <f>IF(ISBLANK('Electric old'!G101),"-",'Electric old'!G101)</f>
        <v>453.75271588038237</v>
      </c>
      <c r="D101" s="200" t="s">
        <v>85</v>
      </c>
      <c r="E101" s="199" t="str">
        <f>IF(ISBLANK('Water Old'!G101),"-",'Water Old'!G101)</f>
        <v>-</v>
      </c>
      <c r="F101" s="200" t="s">
        <v>85</v>
      </c>
      <c r="G101" s="200" t="s">
        <v>85</v>
      </c>
    </row>
    <row r="102" spans="1:7" x14ac:dyDescent="0.2">
      <c r="A102" s="236"/>
      <c r="B102" s="48" t="str">
        <f t="shared" si="15"/>
        <v>March</v>
      </c>
      <c r="C102" s="199">
        <f>IF(ISBLANK('Electric old'!G102),"-",'Electric old'!G102)</f>
        <v>313.60055999999997</v>
      </c>
      <c r="D102" s="200" t="s">
        <v>85</v>
      </c>
      <c r="E102" s="199" t="str">
        <f>IF(ISBLANK('Water Old'!G102),"-",'Water Old'!G102)</f>
        <v>-</v>
      </c>
      <c r="F102" s="199">
        <f t="shared" ref="F102:F108" si="18">SUM(C102:E102)</f>
        <v>313.60055999999997</v>
      </c>
      <c r="G102" s="201">
        <f>F102</f>
        <v>313.60055999999997</v>
      </c>
    </row>
    <row r="103" spans="1:7" x14ac:dyDescent="0.2">
      <c r="A103" s="236"/>
      <c r="B103" s="48" t="str">
        <f t="shared" si="15"/>
        <v>April</v>
      </c>
      <c r="C103" s="199">
        <f>IF(ISBLANK('Electric old'!G103),"-",'Electric old'!G103)</f>
        <v>362.4957</v>
      </c>
      <c r="D103" s="199">
        <f>IF(ISBLANK(1/24*('Gas Old'!$H$4+'Gas Old'!$H$13)),"-",1/24*('Gas Old'!$H$4+'Gas Old'!$H$13))</f>
        <v>236.45225999999997</v>
      </c>
      <c r="E103" s="199">
        <f>IF(ISBLANK('Water Old'!G103),"-",'Water Old'!G103)</f>
        <v>47.300770269000004</v>
      </c>
      <c r="F103" s="199">
        <f t="shared" si="18"/>
        <v>646.24873026900002</v>
      </c>
      <c r="G103" s="201">
        <f t="shared" ref="G103:G108" si="19">F103+G102</f>
        <v>959.84929026899999</v>
      </c>
    </row>
    <row r="104" spans="1:7" x14ac:dyDescent="0.2">
      <c r="A104" s="236"/>
      <c r="B104" s="48" t="str">
        <f t="shared" si="15"/>
        <v>May</v>
      </c>
      <c r="C104" s="199">
        <f>IF(ISBLANK('Electric old'!G104),"-",'Electric old'!G104)</f>
        <v>306.6336</v>
      </c>
      <c r="D104" s="199">
        <f>IF(ISBLANK(1/24*('Gas Old'!$H$5+'Gas Old'!$H$14)),"-",1/24*('Gas Old'!$H$5+'Gas Old'!$H$14))</f>
        <v>154.11650999999998</v>
      </c>
      <c r="E104" s="199">
        <f>IF(ISBLANK('Water Old'!G104),"-",'Water Old'!G104)</f>
        <v>32.0775182387138</v>
      </c>
      <c r="F104" s="199">
        <f t="shared" si="18"/>
        <v>492.82762823871377</v>
      </c>
      <c r="G104" s="201">
        <f t="shared" si="19"/>
        <v>1452.6769185077137</v>
      </c>
    </row>
    <row r="105" spans="1:7" x14ac:dyDescent="0.2">
      <c r="A105" s="236"/>
      <c r="B105" s="48" t="str">
        <f t="shared" si="15"/>
        <v>June</v>
      </c>
      <c r="C105" s="199">
        <f>IF(ISBLANK('Electric old'!G105),"-",'Electric old'!G105)</f>
        <v>101.00856976</v>
      </c>
      <c r="D105" s="199">
        <f>IF(ISBLANK(1/24*('Gas Old'!$H$6+'Gas Old'!$H$15)),"-",1/24*('Gas Old'!$H$6+'Gas Old'!$H$15))</f>
        <v>72.458489999999998</v>
      </c>
      <c r="E105" s="199">
        <f>IF(ISBLANK('Water Old'!G105),"-",'Water Old'!G105)</f>
        <v>0.10571007990719999</v>
      </c>
      <c r="F105" s="199">
        <f t="shared" si="18"/>
        <v>173.57276983990718</v>
      </c>
      <c r="G105" s="201">
        <f t="shared" si="19"/>
        <v>1626.2496883476208</v>
      </c>
    </row>
    <row r="106" spans="1:7" x14ac:dyDescent="0.2">
      <c r="A106" s="236"/>
      <c r="B106" s="48" t="str">
        <f t="shared" si="15"/>
        <v>July</v>
      </c>
      <c r="C106" s="199">
        <f>IF(ISBLANK('Electric old'!G106),"-",'Electric old'!G106)</f>
        <v>179.09238348</v>
      </c>
      <c r="D106" s="199">
        <f>IF(ISBLANK(1/24*('Gas Old'!$H$7+'Gas Old'!$H$16)),"-",1/24*('Gas Old'!$H$7+'Gas Old'!$H$16))</f>
        <v>74.734941666666657</v>
      </c>
      <c r="E106" s="199">
        <f>IF(ISBLANK('Water Old'!G106),"-",'Water Old'!G106)</f>
        <v>23.279350063200003</v>
      </c>
      <c r="F106" s="199">
        <f t="shared" si="18"/>
        <v>277.10667520986664</v>
      </c>
      <c r="G106" s="201">
        <f t="shared" si="19"/>
        <v>1903.3563635574874</v>
      </c>
    </row>
    <row r="107" spans="1:7" x14ac:dyDescent="0.2">
      <c r="A107" s="236"/>
      <c r="B107" s="48" t="str">
        <f t="shared" si="15"/>
        <v>August</v>
      </c>
      <c r="C107" s="199">
        <f>IF(ISBLANK('Electric old'!G107),"-",'Electric old'!G107)</f>
        <v>277.79795999999999</v>
      </c>
      <c r="D107" s="199">
        <f>IF(ISBLANK(1/24*('Gas Old'!$H$8+'Gas Old'!$H$17)),"-",1/24*('Gas Old'!$H$8+'Gas Old'!$H$17))</f>
        <v>92.217714583333319</v>
      </c>
      <c r="E107" s="199">
        <f>IF(ISBLANK('Water Old'!G107),"-",'Water Old'!G107)</f>
        <v>227.88460804127331</v>
      </c>
      <c r="F107" s="199">
        <f t="shared" si="18"/>
        <v>597.90028262460658</v>
      </c>
      <c r="G107" s="201">
        <f t="shared" si="19"/>
        <v>2501.2566461820938</v>
      </c>
    </row>
    <row r="108" spans="1:7" x14ac:dyDescent="0.2">
      <c r="A108" s="236"/>
      <c r="B108" s="48" t="str">
        <f t="shared" si="15"/>
        <v>September</v>
      </c>
      <c r="C108" s="199">
        <f>IF(ISBLANK('Electric old'!G108),"-",'Electric old'!G108)</f>
        <v>350.94480000000004</v>
      </c>
      <c r="D108" s="199">
        <f>IF(ISBLANK(1/24*('Gas Old'!$H9+'Gas Old'!$H18)),"-",1/24*('Gas Old'!$H9+'Gas Old'!$H18))</f>
        <v>132.07155</v>
      </c>
      <c r="E108" s="199">
        <f>IF(ISBLANK('Water Old'!G108),"-",'Water Old'!G108)</f>
        <v>36.933165634887601</v>
      </c>
      <c r="F108" s="199">
        <f t="shared" si="18"/>
        <v>519.94951563488769</v>
      </c>
      <c r="G108" s="201">
        <f t="shared" si="19"/>
        <v>3021.2061618169814</v>
      </c>
    </row>
    <row r="109" spans="1:7" x14ac:dyDescent="0.2">
      <c r="A109" s="236"/>
      <c r="B109" s="48" t="str">
        <f t="shared" si="15"/>
        <v>October</v>
      </c>
      <c r="C109" s="199">
        <f>IF(ISBLANK('Electric old'!G109),"-",'Electric old'!G109)</f>
        <v>472.70080000000002</v>
      </c>
      <c r="D109" s="199">
        <f>IF(ISBLANK(1/24*('Gas Old'!$H10+'Gas Old'!$H19)),"-",1/24*('Gas Old'!$H10+'Gas Old'!$H19))</f>
        <v>197.73962499999996</v>
      </c>
      <c r="E109" s="199">
        <f>IF(ISBLANK('Water Old'!G109),"-",'Water Old'!G109)</f>
        <v>54.819361966506797</v>
      </c>
      <c r="F109" s="199">
        <f>SUM(C109:E109)</f>
        <v>725.25978696650679</v>
      </c>
      <c r="G109" s="201">
        <f>F109+G108</f>
        <v>3746.4659487834883</v>
      </c>
    </row>
    <row r="110" spans="1:7" x14ac:dyDescent="0.2">
      <c r="A110" s="236"/>
      <c r="B110" s="48" t="str">
        <f t="shared" si="15"/>
        <v>November</v>
      </c>
      <c r="C110" s="199">
        <f>IF(ISBLANK('Electric old'!G110),"-",'Electric old'!G110)</f>
        <v>171.45600000000002</v>
      </c>
      <c r="D110" s="199">
        <f>IF(ISBLANK(1/24*('Gas Old'!$H11+'Gas Old'!$H20)),"-",1/24*('Gas Old'!$H11+'Gas Old'!$H20))</f>
        <v>189.5069708333333</v>
      </c>
      <c r="E110" s="199">
        <f>IF(ISBLANK('Water Old'!G110),"-",'Water Old'!G110)</f>
        <v>21.8617008071813</v>
      </c>
      <c r="F110" s="199">
        <f>SUM(C110:E110)</f>
        <v>382.82467164051462</v>
      </c>
      <c r="G110" s="201">
        <f>F110+G109</f>
        <v>4129.2906204240026</v>
      </c>
    </row>
    <row r="111" spans="1:7" x14ac:dyDescent="0.2">
      <c r="A111" s="236"/>
      <c r="B111" s="48" t="str">
        <f t="shared" si="15"/>
        <v>December</v>
      </c>
      <c r="C111" s="199">
        <f>IF(ISBLANK('Electric old'!G111),"-",'Electric old'!G111)</f>
        <v>156.48134295325778</v>
      </c>
      <c r="D111" s="199">
        <f>IF(ISBLANK(1/24*('Gas Old'!$H12+'Gas Old'!$H21)),"-",1/24*('Gas Old'!$H12+'Gas Old'!$H21))</f>
        <v>234.85547659123191</v>
      </c>
      <c r="E111" s="199">
        <f>IF(ISBLANK('Water Old'!G111),"-",'Water Old'!G111)</f>
        <v>14.897062977286099</v>
      </c>
      <c r="F111" s="199">
        <f>SUM(C111:E111)</f>
        <v>406.2338825217758</v>
      </c>
      <c r="G111" s="201">
        <f>F111+G110</f>
        <v>4535.5245029457783</v>
      </c>
    </row>
    <row r="112" spans="1:7" x14ac:dyDescent="0.2">
      <c r="A112" s="236" t="s">
        <v>76</v>
      </c>
      <c r="B112" s="48" t="str">
        <f t="shared" si="15"/>
        <v>January</v>
      </c>
      <c r="C112" s="199">
        <f>IF(ISBLANK('Electric old'!G112),"-",'Electric old'!G112)</f>
        <v>213.67246956924964</v>
      </c>
      <c r="D112" s="200" t="s">
        <v>85</v>
      </c>
      <c r="E112" s="199" t="str">
        <f>IF(ISBLANK('Water Old'!G112),"-",'Water Old'!G112)</f>
        <v>-</v>
      </c>
      <c r="F112" s="200" t="s">
        <v>85</v>
      </c>
      <c r="G112" s="200" t="s">
        <v>85</v>
      </c>
    </row>
    <row r="113" spans="1:15" x14ac:dyDescent="0.2">
      <c r="A113" s="236"/>
      <c r="B113" s="48" t="str">
        <f t="shared" si="15"/>
        <v>February</v>
      </c>
      <c r="C113" s="199">
        <f>IF(ISBLANK('Electric old'!G113),"-",'Electric old'!G113)</f>
        <v>431.96178647346215</v>
      </c>
      <c r="D113" s="200" t="s">
        <v>85</v>
      </c>
      <c r="E113" s="199" t="str">
        <f>IF(ISBLANK('Water Old'!G113),"-",'Water Old'!G113)</f>
        <v>-</v>
      </c>
      <c r="F113" s="200" t="s">
        <v>85</v>
      </c>
      <c r="G113" s="200" t="s">
        <v>85</v>
      </c>
      <c r="H113" s="146"/>
      <c r="I113" s="146"/>
      <c r="J113" s="146"/>
      <c r="K113" s="146"/>
      <c r="L113" s="146"/>
      <c r="M113" s="146"/>
      <c r="N113" s="146"/>
      <c r="O113" s="146"/>
    </row>
    <row r="114" spans="1:15" x14ac:dyDescent="0.2">
      <c r="A114" s="236"/>
      <c r="B114" s="48" t="str">
        <f t="shared" si="15"/>
        <v>March</v>
      </c>
      <c r="C114" s="199">
        <f>IF(ISBLANK('Electric old'!G114),"-",'Electric old'!G114)</f>
        <v>287.83047999999997</v>
      </c>
      <c r="D114" s="200" t="s">
        <v>85</v>
      </c>
      <c r="E114" s="199" t="str">
        <f>IF(ISBLANK('Water Old'!G114),"-",'Water Old'!G114)</f>
        <v>-</v>
      </c>
      <c r="F114" s="199">
        <f t="shared" ref="F114:F120" si="20">SUM(C114:E114)</f>
        <v>287.83047999999997</v>
      </c>
      <c r="G114" s="201">
        <f>F114</f>
        <v>287.83047999999997</v>
      </c>
      <c r="H114" s="146"/>
      <c r="I114" s="146"/>
      <c r="J114" s="146"/>
      <c r="K114" s="146"/>
      <c r="L114" s="146"/>
      <c r="M114" s="146"/>
      <c r="N114" s="146"/>
      <c r="O114" s="146"/>
    </row>
    <row r="115" spans="1:15" x14ac:dyDescent="0.2">
      <c r="A115" s="236"/>
      <c r="B115" s="48" t="str">
        <f t="shared" si="15"/>
        <v>April</v>
      </c>
      <c r="C115" s="199">
        <f>IF(ISBLANK('Electric old'!G115),"-",'Electric old'!G115)</f>
        <v>361.05804000000001</v>
      </c>
      <c r="D115" s="199">
        <f>IF(ISBLANK(2/24*('Gas Old'!$H$4+'Gas Old'!$H$13)),"-",2/24*('Gas Old'!$H$4+'Gas Old'!$H$13))</f>
        <v>472.90451999999993</v>
      </c>
      <c r="E115" s="199">
        <f>IF(ISBLANK('Water Old'!G115),"-",'Water Old'!G115)</f>
        <v>64.200084136000001</v>
      </c>
      <c r="F115" s="199">
        <f t="shared" si="20"/>
        <v>898.16264413599993</v>
      </c>
      <c r="G115" s="201">
        <f t="shared" ref="G115:G120" si="21">F115+G114</f>
        <v>1185.993124136</v>
      </c>
      <c r="H115" s="146"/>
      <c r="I115" s="146"/>
      <c r="J115" s="146"/>
      <c r="K115" s="146"/>
      <c r="L115" s="146"/>
      <c r="M115" s="146"/>
      <c r="N115" s="146"/>
      <c r="O115" s="146"/>
    </row>
    <row r="116" spans="1:15" x14ac:dyDescent="0.2">
      <c r="A116" s="236"/>
      <c r="B116" s="48" t="str">
        <f t="shared" si="15"/>
        <v>May</v>
      </c>
      <c r="C116" s="199">
        <f>IF(ISBLANK('Electric old'!G116),"-",'Electric old'!G116)</f>
        <v>337.59935999999999</v>
      </c>
      <c r="D116" s="199">
        <f>IF(ISBLANK(2/24*('Gas Old'!$H$5+'Gas Old'!$H$14)),"-",2/24*('Gas Old'!$H$5+'Gas Old'!$H$14))</f>
        <v>308.23301999999995</v>
      </c>
      <c r="E116" s="199">
        <f>IF(ISBLANK('Water Old'!G116),"-",'Water Old'!G116)</f>
        <v>54.265040184630394</v>
      </c>
      <c r="F116" s="199">
        <f t="shared" si="20"/>
        <v>700.09742018463032</v>
      </c>
      <c r="G116" s="201">
        <f t="shared" si="21"/>
        <v>1886.0905443206302</v>
      </c>
      <c r="H116" s="146"/>
      <c r="I116" s="146"/>
      <c r="J116" s="146"/>
      <c r="K116" s="146"/>
      <c r="L116" s="146"/>
      <c r="M116" s="146"/>
      <c r="N116" s="146"/>
      <c r="O116" s="146"/>
    </row>
    <row r="117" spans="1:15" x14ac:dyDescent="0.2">
      <c r="A117" s="236"/>
      <c r="B117" s="48" t="str">
        <f t="shared" si="15"/>
        <v>June</v>
      </c>
      <c r="C117" s="199">
        <f>IF(ISBLANK('Electric old'!G117),"-",'Electric old'!G117)</f>
        <v>101.00856976</v>
      </c>
      <c r="D117" s="199">
        <f>IF(ISBLANK(2/24*('Gas Old'!$H$6+'Gas Old'!$H$15)),"-",2/24*('Gas Old'!$H$6+'Gas Old'!$H$15))</f>
        <v>144.91698</v>
      </c>
      <c r="E117" s="199">
        <f>IF(ISBLANK('Water Old'!G117),"-",'Water Old'!G117)</f>
        <v>0.35188423859519996</v>
      </c>
      <c r="F117" s="199">
        <f t="shared" si="20"/>
        <v>246.2774339985952</v>
      </c>
      <c r="G117" s="201">
        <f t="shared" si="21"/>
        <v>2132.3679783192256</v>
      </c>
      <c r="H117" s="146"/>
      <c r="I117" s="146"/>
      <c r="J117" s="146"/>
      <c r="K117" s="146"/>
      <c r="L117" s="146"/>
      <c r="M117" s="146"/>
      <c r="N117" s="146"/>
      <c r="O117" s="146"/>
    </row>
    <row r="118" spans="1:15" x14ac:dyDescent="0.2">
      <c r="A118" s="236"/>
      <c r="B118" s="48" t="str">
        <f t="shared" si="15"/>
        <v>July</v>
      </c>
      <c r="C118" s="199">
        <f>IF(ISBLANK('Electric old'!G118),"-",'Electric old'!G118)</f>
        <v>233.66959456000001</v>
      </c>
      <c r="D118" s="199">
        <f>IF(ISBLANK(2/24*('Gas Old'!$H$7+'Gas Old'!$H$16)),"-",2/24*('Gas Old'!$H$7+'Gas Old'!$H$16))</f>
        <v>149.46988333333331</v>
      </c>
      <c r="E118" s="199">
        <f>IF(ISBLANK('Water Old'!G118),"-",'Water Old'!G118)</f>
        <v>8.2463894348799993</v>
      </c>
      <c r="F118" s="199">
        <f t="shared" si="20"/>
        <v>391.38586732821329</v>
      </c>
      <c r="G118" s="201">
        <f t="shared" si="21"/>
        <v>2523.753845647439</v>
      </c>
      <c r="H118" s="146"/>
      <c r="I118" s="146"/>
      <c r="J118" s="146"/>
      <c r="K118" s="146"/>
      <c r="L118" s="146"/>
      <c r="M118" s="146"/>
      <c r="N118" s="146"/>
      <c r="O118" s="146"/>
    </row>
    <row r="119" spans="1:15" x14ac:dyDescent="0.2">
      <c r="A119" s="236"/>
      <c r="B119" s="48" t="str">
        <f t="shared" si="15"/>
        <v>August</v>
      </c>
      <c r="C119" s="199">
        <f>IF(ISBLANK('Electric old'!G119),"-",'Electric old'!G119)</f>
        <v>253.33704</v>
      </c>
      <c r="D119" s="199">
        <f>IF(ISBLANK(2/24*('Gas Old'!$H$8+'Gas Old'!$H$17)),"-",2/24*('Gas Old'!$H$8+'Gas Old'!$H$17))</f>
        <v>184.43542916666664</v>
      </c>
      <c r="E119" s="199">
        <f>IF(ISBLANK('Water Old'!G119),"-",'Water Old'!G119)</f>
        <v>95.497878815336406</v>
      </c>
      <c r="F119" s="199">
        <f t="shared" si="20"/>
        <v>533.27034798200305</v>
      </c>
      <c r="G119" s="201">
        <f t="shared" si="21"/>
        <v>3057.0241936294419</v>
      </c>
      <c r="H119" s="146"/>
      <c r="I119" s="146"/>
      <c r="J119" s="146"/>
      <c r="K119" s="146"/>
      <c r="L119" s="146"/>
      <c r="M119" s="146"/>
      <c r="N119" s="146"/>
      <c r="O119" s="146"/>
    </row>
    <row r="120" spans="1:15" x14ac:dyDescent="0.2">
      <c r="A120" s="236"/>
      <c r="B120" s="48" t="str">
        <f t="shared" si="15"/>
        <v>September</v>
      </c>
      <c r="C120" s="199">
        <f>IF(ISBLANK('Electric old'!G120),"-",'Electric old'!G120)</f>
        <v>139.66560000000001</v>
      </c>
      <c r="D120" s="199">
        <f>IF(ISBLANK(2/24*('Gas Old'!$H9+'Gas Old'!$H18)),"-",2/24*('Gas Old'!$H9+'Gas Old'!$H18))</f>
        <v>264.1431</v>
      </c>
      <c r="E120" s="199">
        <f>IF(ISBLANK('Water Old'!G120),"-",'Water Old'!G120)</f>
        <v>79.669031153368522</v>
      </c>
      <c r="F120" s="199">
        <f t="shared" si="20"/>
        <v>483.47773115336855</v>
      </c>
      <c r="G120" s="201">
        <f t="shared" si="21"/>
        <v>3540.5019247828104</v>
      </c>
      <c r="H120" s="146"/>
      <c r="I120" s="146"/>
      <c r="J120" s="146"/>
      <c r="K120" s="146"/>
      <c r="L120" s="146"/>
      <c r="M120" s="146"/>
      <c r="N120" s="146"/>
      <c r="O120" s="146"/>
    </row>
    <row r="121" spans="1:15" x14ac:dyDescent="0.2">
      <c r="A121" s="236"/>
      <c r="B121" s="48" t="str">
        <f t="shared" si="15"/>
        <v>October</v>
      </c>
      <c r="C121" s="199">
        <f>IF(ISBLANK('Electric old'!G121),"-",'Electric old'!G121)</f>
        <v>114.85760000000001</v>
      </c>
      <c r="D121" s="199">
        <f>IF(ISBLANK(2/24*('Gas Old'!$H10+'Gas Old'!$H19)),"-",2/24*('Gas Old'!$H10+'Gas Old'!$H19))</f>
        <v>395.47924999999992</v>
      </c>
      <c r="E121" s="199">
        <f>IF(ISBLANK('Water Old'!G121),"-",'Water Old'!G121)</f>
        <v>118.98357424000001</v>
      </c>
      <c r="F121" s="199">
        <f>SUM(C121:E121)</f>
        <v>629.32042423999997</v>
      </c>
      <c r="G121" s="201">
        <f>F121+G120</f>
        <v>4169.8223490228102</v>
      </c>
      <c r="H121" s="146"/>
      <c r="I121" s="146"/>
      <c r="J121" s="146"/>
      <c r="K121" s="146"/>
      <c r="L121" s="146"/>
      <c r="M121" s="146"/>
      <c r="N121" s="146"/>
      <c r="O121" s="146"/>
    </row>
    <row r="122" spans="1:15" x14ac:dyDescent="0.2">
      <c r="A122" s="236"/>
      <c r="B122" s="48" t="str">
        <f t="shared" si="15"/>
        <v>November</v>
      </c>
      <c r="C122" s="199">
        <f>IF(ISBLANK('Electric old'!G122),"-",'Electric old'!G122)</f>
        <v>36.255800000000001</v>
      </c>
      <c r="D122" s="199">
        <f>IF(ISBLANK(2/24*('Gas Old'!$H11+'Gas Old'!$H20)),"-",2/24*('Gas Old'!$H11+'Gas Old'!$H20))</f>
        <v>379.0139416666666</v>
      </c>
      <c r="E122" s="199">
        <f>IF(ISBLANK('Water Old'!G122),"-",'Water Old'!G122)</f>
        <v>57.989812799999996</v>
      </c>
      <c r="F122" s="199">
        <f>SUM(C122:E122)</f>
        <v>473.2595544666666</v>
      </c>
      <c r="G122" s="201">
        <f>F122+G121</f>
        <v>4643.0819034894766</v>
      </c>
      <c r="H122" s="146"/>
      <c r="I122" s="146"/>
      <c r="J122" s="146"/>
      <c r="K122" s="146"/>
      <c r="L122" s="146"/>
      <c r="M122" s="146"/>
      <c r="N122" s="146"/>
      <c r="O122" s="146"/>
    </row>
    <row r="123" spans="1:15" x14ac:dyDescent="0.2">
      <c r="A123" s="236"/>
      <c r="B123" s="48" t="str">
        <f t="shared" si="15"/>
        <v>December</v>
      </c>
      <c r="C123" s="199">
        <f>IF(ISBLANK('Electric old'!G123),"-",'Electric old'!G123)</f>
        <v>57.331135505193579</v>
      </c>
      <c r="D123" s="199">
        <f>IF(ISBLANK(2/24*('Gas Old'!$H12+'Gas Old'!$H21)),"-",2/24*('Gas Old'!$H12+'Gas Old'!$H21))</f>
        <v>469.71095318246381</v>
      </c>
      <c r="E123" s="199">
        <f>IF(ISBLANK('Water Old'!G123),"-",'Water Old'!G123)</f>
        <v>38.531847636878091</v>
      </c>
      <c r="F123" s="199">
        <f>SUM(C123:E123)</f>
        <v>565.57393632453545</v>
      </c>
      <c r="G123" s="201">
        <f>F123+G122</f>
        <v>5208.6558398140123</v>
      </c>
      <c r="H123" s="146"/>
      <c r="I123" s="51"/>
      <c r="J123" s="52"/>
      <c r="K123" s="203"/>
      <c r="L123" s="203"/>
      <c r="M123" s="51"/>
      <c r="N123" s="51"/>
      <c r="O123" s="204"/>
    </row>
    <row r="124" spans="1:15" ht="12.75" customHeight="1" x14ac:dyDescent="0.2">
      <c r="A124" s="236" t="s">
        <v>77</v>
      </c>
      <c r="B124" s="48" t="str">
        <f t="shared" si="15"/>
        <v>January</v>
      </c>
      <c r="C124" s="199">
        <f>IF(ISBLANK('Electric old'!G124),"-",'Electric old'!G124)</f>
        <v>444.26688687213289</v>
      </c>
      <c r="D124" s="200" t="s">
        <v>85</v>
      </c>
      <c r="E124" s="199" t="str">
        <f>IF(ISBLANK('Water Old'!G124),"-",'Water Old'!G124)</f>
        <v>-</v>
      </c>
      <c r="F124" s="200" t="s">
        <v>85</v>
      </c>
      <c r="G124" s="200" t="s">
        <v>85</v>
      </c>
      <c r="H124" s="146"/>
      <c r="I124" s="146"/>
      <c r="J124" s="205"/>
      <c r="K124" s="206"/>
      <c r="L124" s="206"/>
      <c r="M124" s="206"/>
      <c r="N124" s="206"/>
      <c r="O124" s="206"/>
    </row>
    <row r="125" spans="1:15" x14ac:dyDescent="0.2">
      <c r="A125" s="236"/>
      <c r="B125" s="48" t="str">
        <f t="shared" si="15"/>
        <v>February</v>
      </c>
      <c r="C125" s="199">
        <f>IF(ISBLANK('Electric old'!G125),"-",'Electric old'!G125)</f>
        <v>912.90495409168295</v>
      </c>
      <c r="D125" s="200" t="s">
        <v>85</v>
      </c>
      <c r="E125" s="199" t="str">
        <f>IF(ISBLANK('Water Old'!G125),"-",'Water Old'!G125)</f>
        <v>-</v>
      </c>
      <c r="F125" s="200" t="s">
        <v>85</v>
      </c>
      <c r="G125" s="200" t="s">
        <v>85</v>
      </c>
      <c r="H125" s="146"/>
      <c r="I125" s="146"/>
      <c r="J125" s="205"/>
      <c r="K125" s="206"/>
      <c r="L125" s="206"/>
      <c r="M125" s="206"/>
      <c r="N125" s="206"/>
      <c r="O125" s="206"/>
    </row>
    <row r="126" spans="1:15" x14ac:dyDescent="0.2">
      <c r="A126" s="236"/>
      <c r="B126" s="48" t="str">
        <f t="shared" si="15"/>
        <v>March</v>
      </c>
      <c r="C126" s="199">
        <f>IF(ISBLANK('Electric old'!G126),"-",'Electric old'!G126)</f>
        <v>618.77256</v>
      </c>
      <c r="D126" s="200" t="s">
        <v>85</v>
      </c>
      <c r="E126" s="199" t="str">
        <f>IF(ISBLANK('Water Old'!G126),"-",'Water Old'!G126)</f>
        <v>-</v>
      </c>
      <c r="F126" s="199">
        <f t="shared" ref="F126:F132" si="22">SUM(C126:E126)</f>
        <v>618.77256</v>
      </c>
      <c r="G126" s="201">
        <f>F126</f>
        <v>618.77256</v>
      </c>
      <c r="H126" s="146"/>
      <c r="I126" s="146"/>
      <c r="J126" s="205"/>
      <c r="K126" s="206"/>
      <c r="L126" s="206"/>
      <c r="M126" s="206"/>
      <c r="N126" s="206"/>
      <c r="O126" s="206"/>
    </row>
    <row r="127" spans="1:15" x14ac:dyDescent="0.2">
      <c r="A127" s="236"/>
      <c r="B127" s="48" t="str">
        <f t="shared" si="15"/>
        <v>April</v>
      </c>
      <c r="C127" s="199">
        <f>IF(ISBLANK('Electric old'!G127),"-",'Electric old'!G127)</f>
        <v>697.67586000000006</v>
      </c>
      <c r="D127" s="199">
        <f>IF(ISBLANK(2/24*('Gas Old'!$H$4+'Gas Old'!$H$13)),"-",2/24*('Gas Old'!$H$4+'Gas Old'!$H$13))</f>
        <v>472.90451999999993</v>
      </c>
      <c r="E127" s="199">
        <f>IF(ISBLANK('Water Old'!G127),"-",'Water Old'!G127)</f>
        <v>64.200084136000001</v>
      </c>
      <c r="F127" s="199">
        <f t="shared" si="22"/>
        <v>1234.7804641359999</v>
      </c>
      <c r="G127" s="201">
        <f t="shared" ref="G127:G132" si="23">F127+G126</f>
        <v>1853.5530241359997</v>
      </c>
      <c r="H127" s="146"/>
      <c r="I127" s="146"/>
      <c r="J127" s="205"/>
      <c r="K127" s="206"/>
      <c r="L127" s="206"/>
      <c r="M127" s="206"/>
      <c r="N127" s="206"/>
      <c r="O127" s="206"/>
    </row>
    <row r="128" spans="1:15" x14ac:dyDescent="0.2">
      <c r="A128" s="236"/>
      <c r="B128" s="48" t="str">
        <f t="shared" si="15"/>
        <v>May</v>
      </c>
      <c r="C128" s="199">
        <f>IF(ISBLANK('Electric old'!G128),"-",'Electric old'!G128)</f>
        <v>578.55168000000003</v>
      </c>
      <c r="D128" s="199">
        <f>IF(ISBLANK(2/24*('Gas Old'!$H$5+'Gas Old'!$H$14)),"-",2/24*('Gas Old'!$H$5+'Gas Old'!$H$14))</f>
        <v>308.23301999999995</v>
      </c>
      <c r="E128" s="199">
        <f>IF(ISBLANK('Water Old'!G128),"-",'Water Old'!G128)</f>
        <v>54.265040184630394</v>
      </c>
      <c r="F128" s="199">
        <f t="shared" si="22"/>
        <v>941.04974018463031</v>
      </c>
      <c r="G128" s="201">
        <f t="shared" si="23"/>
        <v>2794.6027643206298</v>
      </c>
      <c r="H128" s="146"/>
      <c r="I128" s="146"/>
      <c r="J128" s="205"/>
      <c r="K128" s="206"/>
      <c r="L128" s="206"/>
      <c r="M128" s="206"/>
      <c r="N128" s="206"/>
      <c r="O128" s="206"/>
    </row>
    <row r="129" spans="1:15" x14ac:dyDescent="0.2">
      <c r="A129" s="236"/>
      <c r="B129" s="48" t="str">
        <f t="shared" si="15"/>
        <v>June</v>
      </c>
      <c r="C129" s="199">
        <f>IF(ISBLANK('Electric old'!G129),"-",'Electric old'!G129)</f>
        <v>230.76036156000001</v>
      </c>
      <c r="D129" s="199">
        <f>IF(ISBLANK(2/24*('Gas Old'!$H$6+'Gas Old'!$H$15)),"-",2/24*('Gas Old'!$H$6+'Gas Old'!$H$15))</f>
        <v>144.91698</v>
      </c>
      <c r="E129" s="199">
        <f>IF(ISBLANK('Water Old'!G129),"-",'Water Old'!G129)</f>
        <v>0.35188423859519996</v>
      </c>
      <c r="F129" s="199">
        <f t="shared" si="22"/>
        <v>376.02922579859518</v>
      </c>
      <c r="G129" s="201">
        <f t="shared" si="23"/>
        <v>3170.6319901192251</v>
      </c>
      <c r="H129" s="146"/>
      <c r="I129" s="146"/>
      <c r="J129" s="205"/>
      <c r="K129" s="206"/>
      <c r="L129" s="206"/>
      <c r="M129" s="206"/>
      <c r="N129" s="206"/>
      <c r="O129" s="206"/>
    </row>
    <row r="130" spans="1:15" x14ac:dyDescent="0.2">
      <c r="A130" s="236"/>
      <c r="B130" s="48" t="str">
        <f t="shared" si="15"/>
        <v>July</v>
      </c>
      <c r="C130" s="199">
        <f>IF(ISBLANK('Electric old'!G130),"-",'Electric old'!G130)</f>
        <v>401.59052331999999</v>
      </c>
      <c r="D130" s="199">
        <f>IF(ISBLANK(2/24*('Gas Old'!$H$7+'Gas Old'!$H$16)),"-",2/24*('Gas Old'!$H$7+'Gas Old'!$H$16))</f>
        <v>149.46988333333331</v>
      </c>
      <c r="E130" s="199">
        <f>IF(ISBLANK('Water Old'!G130),"-",'Water Old'!G130)</f>
        <v>8.2463894348799993</v>
      </c>
      <c r="F130" s="199">
        <f t="shared" si="22"/>
        <v>559.30679608821333</v>
      </c>
      <c r="G130" s="201">
        <f t="shared" si="23"/>
        <v>3729.9387862074382</v>
      </c>
      <c r="H130" s="146"/>
      <c r="I130" s="146"/>
      <c r="J130" s="205"/>
      <c r="K130" s="206"/>
      <c r="L130" s="206"/>
      <c r="M130" s="206"/>
      <c r="N130" s="206"/>
      <c r="O130" s="206"/>
    </row>
    <row r="131" spans="1:15" x14ac:dyDescent="0.2">
      <c r="A131" s="236"/>
      <c r="B131" s="48" t="str">
        <f t="shared" si="15"/>
        <v>August</v>
      </c>
      <c r="C131" s="199">
        <f>IF(ISBLANK('Electric old'!G131),"-",'Electric old'!G131)</f>
        <v>616.11659999999995</v>
      </c>
      <c r="D131" s="199">
        <f>IF(ISBLANK(2/24*('Gas Old'!$H$8+'Gas Old'!$H$17)),"-",2/24*('Gas Old'!$H$8+'Gas Old'!$H$17))</f>
        <v>184.43542916666664</v>
      </c>
      <c r="E131" s="199">
        <f>IF(ISBLANK('Water Old'!G131),"-",'Water Old'!G131)</f>
        <v>95.497878815336406</v>
      </c>
      <c r="F131" s="199">
        <f t="shared" si="22"/>
        <v>896.04990798200299</v>
      </c>
      <c r="G131" s="201">
        <f t="shared" si="23"/>
        <v>4625.988694189441</v>
      </c>
      <c r="H131" s="146"/>
      <c r="I131" s="146"/>
      <c r="J131" s="205"/>
      <c r="K131" s="206"/>
      <c r="L131" s="206"/>
      <c r="M131" s="206"/>
      <c r="N131" s="206"/>
      <c r="O131" s="206"/>
    </row>
    <row r="132" spans="1:15" x14ac:dyDescent="0.2">
      <c r="A132" s="236"/>
      <c r="B132" s="48" t="str">
        <f t="shared" si="15"/>
        <v>September</v>
      </c>
      <c r="C132" s="199">
        <f>IF(ISBLANK('Electric old'!G132),"-",'Electric old'!G132)</f>
        <v>432.09840000000003</v>
      </c>
      <c r="D132" s="199">
        <f>IF(ISBLANK(2/24*('Gas Old'!$H9+'Gas Old'!$H18)),"-",2/24*('Gas Old'!$H9+'Gas Old'!$H18))</f>
        <v>264.1431</v>
      </c>
      <c r="E132" s="199">
        <f>IF(ISBLANK('Water Old'!G132),"-",'Water Old'!G132)</f>
        <v>79.669031153368522</v>
      </c>
      <c r="F132" s="199">
        <f t="shared" si="22"/>
        <v>775.91053115336865</v>
      </c>
      <c r="G132" s="201">
        <f t="shared" si="23"/>
        <v>5401.8992253428096</v>
      </c>
      <c r="H132" s="146"/>
      <c r="I132" s="146"/>
      <c r="J132" s="205"/>
      <c r="K132" s="206"/>
      <c r="L132" s="206"/>
      <c r="M132" s="206"/>
      <c r="N132" s="206"/>
      <c r="O132" s="206"/>
    </row>
    <row r="133" spans="1:15" x14ac:dyDescent="0.2">
      <c r="A133" s="236"/>
      <c r="B133" s="48" t="str">
        <f t="shared" si="15"/>
        <v>October</v>
      </c>
      <c r="C133" s="199">
        <f>IF(ISBLANK('Electric old'!G133),"-",'Electric old'!G133)</f>
        <v>486.54320000000001</v>
      </c>
      <c r="D133" s="199">
        <f>IF(ISBLANK(2/24*('Gas Old'!$H10+'Gas Old'!$H19)),"-",2/24*('Gas Old'!$H10+'Gas Old'!$H19))</f>
        <v>395.47924999999992</v>
      </c>
      <c r="E133" s="199">
        <f>IF(ISBLANK('Water Old'!G133),"-",'Water Old'!G133)</f>
        <v>118.98357424000001</v>
      </c>
      <c r="F133" s="199">
        <f>SUM(C133:E133)</f>
        <v>1001.00602424</v>
      </c>
      <c r="G133" s="201">
        <f>F133+G132</f>
        <v>6402.9052495828091</v>
      </c>
      <c r="H133" s="146"/>
      <c r="I133" s="146"/>
      <c r="J133" s="205"/>
      <c r="K133" s="206"/>
      <c r="L133" s="206"/>
      <c r="M133" s="206"/>
      <c r="N133" s="206"/>
      <c r="O133" s="206"/>
    </row>
    <row r="134" spans="1:15" x14ac:dyDescent="0.2">
      <c r="A134" s="236"/>
      <c r="B134" s="48" t="str">
        <f t="shared" si="15"/>
        <v>November</v>
      </c>
      <c r="C134" s="199">
        <f>IF(ISBLANK('Electric old'!G134),"-",'Electric old'!G134)</f>
        <v>218.07060000000001</v>
      </c>
      <c r="D134" s="199">
        <f>IF(ISBLANK(2/24*('Gas Old'!$H11+'Gas Old'!$H20)),"-",2/24*('Gas Old'!$H11+'Gas Old'!$H20))</f>
        <v>379.0139416666666</v>
      </c>
      <c r="E134" s="199">
        <f>IF(ISBLANK('Water Old'!G134),"-",'Water Old'!G134)</f>
        <v>57.989812799999996</v>
      </c>
      <c r="F134" s="199">
        <f>SUM(C134:E134)</f>
        <v>655.07435446666659</v>
      </c>
      <c r="G134" s="201">
        <f>F134+G133</f>
        <v>7057.9796040494757</v>
      </c>
      <c r="H134" s="146"/>
      <c r="I134" s="146"/>
      <c r="J134" s="205"/>
      <c r="K134" s="206"/>
      <c r="L134" s="206"/>
      <c r="M134" s="206"/>
      <c r="N134" s="206"/>
      <c r="O134" s="206"/>
    </row>
    <row r="135" spans="1:15" x14ac:dyDescent="0.2">
      <c r="A135" s="236"/>
      <c r="B135" s="48" t="str">
        <f t="shared" si="15"/>
        <v>December</v>
      </c>
      <c r="C135" s="199">
        <f>IF(ISBLANK('Electric old'!G135),"-",'Electric old'!G135)</f>
        <v>352.78605376534466</v>
      </c>
      <c r="D135" s="199">
        <f>IF(ISBLANK(2/24*('Gas Old'!$H12+'Gas Old'!$H21)),"-",2/24*('Gas Old'!$H12+'Gas Old'!$H21))</f>
        <v>469.71095318246381</v>
      </c>
      <c r="E135" s="199">
        <f>IF(ISBLANK('Water Old'!G135),"-",'Water Old'!G135)</f>
        <v>38.531847636878091</v>
      </c>
      <c r="F135" s="199">
        <f>SUM(C135:E135)</f>
        <v>861.02885458468654</v>
      </c>
      <c r="G135" s="201">
        <f>F135+G134</f>
        <v>7919.0084586341618</v>
      </c>
      <c r="H135" s="146"/>
      <c r="I135" s="146"/>
      <c r="J135" s="205"/>
      <c r="K135" s="206"/>
      <c r="L135" s="206"/>
      <c r="M135" s="206"/>
      <c r="N135" s="206"/>
      <c r="O135" s="206"/>
    </row>
    <row r="136" spans="1:15" x14ac:dyDescent="0.2">
      <c r="A136" s="236" t="s">
        <v>97</v>
      </c>
      <c r="B136" s="48" t="str">
        <f t="shared" si="15"/>
        <v>January</v>
      </c>
      <c r="C136" s="199">
        <f>IF(ISERR(C4+C16+C28+C40+C52+C64+C76+C88+C100+C112+C124), "-", (C4+C16+C28+C40+C52+C64+C76+C88+C100+C112+C124))</f>
        <v>4871.1536281734943</v>
      </c>
      <c r="D136" s="199" t="str">
        <f>IF(ISERR(D4+D16+D28+D40+D52+D64+D76+D88+D100+D112+D124), "-", (D4+D16+D28+D40+D52+D64+D76+D88+D100+D112+D124))</f>
        <v>-</v>
      </c>
      <c r="E136" s="199" t="str">
        <f>IF(ISERR(E4+E16+E28+E40+E52+E64+E76+E88+E100+E112+E124), "-", (E4+E16+E28+E40+E52+E64+E76+E88+E100+E112+E124))</f>
        <v>-</v>
      </c>
      <c r="F136" s="200" t="s">
        <v>85</v>
      </c>
      <c r="G136" s="200" t="s">
        <v>85</v>
      </c>
      <c r="H136" s="146"/>
      <c r="I136" s="146"/>
      <c r="J136" s="146"/>
      <c r="K136" s="146"/>
      <c r="L136" s="146"/>
      <c r="M136" s="146"/>
      <c r="N136" s="146"/>
      <c r="O136" s="146"/>
    </row>
    <row r="137" spans="1:15" x14ac:dyDescent="0.2">
      <c r="A137" s="236"/>
      <c r="B137" s="48" t="str">
        <f t="shared" si="15"/>
        <v>February</v>
      </c>
      <c r="C137" s="199">
        <f t="shared" ref="C137:D147" si="24">IF(ISERR(C5+C17+C29+C41+C53+C65+C77+C89+C101+C113+C125), "-", (C5+C17+C29+C41+C53+C65+C77+C89+C101+C113+C125))</f>
        <v>8663.6299999999992</v>
      </c>
      <c r="D137" s="199" t="str">
        <f t="shared" si="24"/>
        <v>-</v>
      </c>
      <c r="E137" s="199" t="str">
        <f t="shared" ref="E137:E144" si="25">IF(ISERR(E5+E17+E29+E41+E53+E65+E77+E89+E101+E113+E125), "-", (E5+E17+E29+E41+E53+E65+E77+E89+E101+E113+E125))</f>
        <v>-</v>
      </c>
      <c r="F137" s="200" t="s">
        <v>85</v>
      </c>
      <c r="G137" s="200" t="s">
        <v>85</v>
      </c>
      <c r="H137" s="146"/>
      <c r="I137" s="146"/>
      <c r="J137" s="146"/>
      <c r="K137" s="146"/>
      <c r="L137" s="146"/>
      <c r="M137" s="146"/>
      <c r="N137" s="146"/>
      <c r="O137" s="146"/>
    </row>
    <row r="138" spans="1:15" x14ac:dyDescent="0.2">
      <c r="A138" s="236"/>
      <c r="B138" s="48" t="str">
        <f t="shared" si="15"/>
        <v>March</v>
      </c>
      <c r="C138" s="199">
        <f t="shared" si="24"/>
        <v>7046.3730399999995</v>
      </c>
      <c r="D138" s="199" t="str">
        <f t="shared" si="24"/>
        <v>-</v>
      </c>
      <c r="E138" s="199" t="str">
        <f t="shared" si="25"/>
        <v>-</v>
      </c>
      <c r="F138" s="199">
        <f t="shared" ref="F138:F144" si="26">SUM(C138:E138)</f>
        <v>7046.3730399999995</v>
      </c>
      <c r="G138" s="201">
        <f>F138</f>
        <v>7046.3730399999995</v>
      </c>
      <c r="H138" s="146"/>
      <c r="I138" s="146"/>
      <c r="J138" s="146"/>
      <c r="K138" s="146"/>
      <c r="L138" s="146"/>
      <c r="M138" s="146"/>
      <c r="N138" s="146"/>
      <c r="O138" s="146"/>
    </row>
    <row r="139" spans="1:15" x14ac:dyDescent="0.2">
      <c r="A139" s="236"/>
      <c r="B139" s="48" t="str">
        <f t="shared" si="15"/>
        <v>April</v>
      </c>
      <c r="C139" s="199">
        <f t="shared" si="24"/>
        <v>7621.6518000000005</v>
      </c>
      <c r="D139" s="199">
        <f t="shared" si="24"/>
        <v>5674.8542399999997</v>
      </c>
      <c r="E139" s="199">
        <f t="shared" si="25"/>
        <v>1042.472482073</v>
      </c>
      <c r="F139" s="199">
        <f t="shared" si="26"/>
        <v>14338.978522073001</v>
      </c>
      <c r="G139" s="201">
        <f t="shared" ref="G139:G144" si="27">F139+G138</f>
        <v>21385.351562073</v>
      </c>
      <c r="H139" s="146"/>
      <c r="I139" s="146"/>
      <c r="J139" s="146"/>
      <c r="K139" s="146"/>
      <c r="L139" s="146"/>
      <c r="M139" s="146"/>
      <c r="N139" s="146"/>
      <c r="O139" s="146"/>
    </row>
    <row r="140" spans="1:15" x14ac:dyDescent="0.2">
      <c r="A140" s="236"/>
      <c r="B140" s="48" t="str">
        <f t="shared" si="15"/>
        <v>May</v>
      </c>
      <c r="C140" s="199">
        <f t="shared" si="24"/>
        <v>6862.3027199999997</v>
      </c>
      <c r="D140" s="199">
        <f t="shared" si="24"/>
        <v>3698.7962399999997</v>
      </c>
      <c r="E140" s="199">
        <f t="shared" si="25"/>
        <v>757.70015146950482</v>
      </c>
      <c r="F140" s="199">
        <f t="shared" si="26"/>
        <v>11318.799111469503</v>
      </c>
      <c r="G140" s="201">
        <f t="shared" si="27"/>
        <v>32704.150673542503</v>
      </c>
      <c r="H140" s="146"/>
      <c r="I140" s="146"/>
      <c r="J140" s="146"/>
      <c r="K140" s="146"/>
      <c r="L140" s="146"/>
      <c r="M140" s="146"/>
      <c r="N140" s="146"/>
      <c r="O140" s="146"/>
    </row>
    <row r="141" spans="1:15" x14ac:dyDescent="0.2">
      <c r="A141" s="236"/>
      <c r="B141" s="48" t="str">
        <f t="shared" si="15"/>
        <v>June</v>
      </c>
      <c r="C141" s="199">
        <f t="shared" si="24"/>
        <v>3578.2402206799998</v>
      </c>
      <c r="D141" s="199">
        <f t="shared" si="24"/>
        <v>1739.0037599999998</v>
      </c>
      <c r="E141" s="199">
        <f t="shared" si="25"/>
        <v>209.24079446836799</v>
      </c>
      <c r="F141" s="199">
        <f t="shared" si="26"/>
        <v>5526.4847751483676</v>
      </c>
      <c r="G141" s="201">
        <f t="shared" si="27"/>
        <v>38230.635448690868</v>
      </c>
      <c r="H141" s="146"/>
      <c r="I141" s="146"/>
      <c r="J141" s="146"/>
      <c r="K141" s="146"/>
      <c r="L141" s="146"/>
      <c r="M141" s="146"/>
      <c r="N141" s="146"/>
      <c r="O141" s="146"/>
    </row>
    <row r="142" spans="1:15" x14ac:dyDescent="0.2">
      <c r="A142" s="236"/>
      <c r="B142" s="48" t="str">
        <f t="shared" si="15"/>
        <v>July</v>
      </c>
      <c r="C142" s="199">
        <f t="shared" si="24"/>
        <v>5168.5433478000004</v>
      </c>
      <c r="D142" s="199">
        <f t="shared" si="24"/>
        <v>1793.6385999999993</v>
      </c>
      <c r="E142" s="199">
        <f t="shared" si="25"/>
        <v>119.06732510680001</v>
      </c>
      <c r="F142" s="199">
        <f t="shared" si="26"/>
        <v>7081.2492729067999</v>
      </c>
      <c r="G142" s="201">
        <f t="shared" si="27"/>
        <v>45311.884721597671</v>
      </c>
      <c r="H142" s="146"/>
      <c r="I142" s="146"/>
      <c r="J142" s="146"/>
      <c r="K142" s="146"/>
      <c r="L142" s="146"/>
      <c r="M142" s="146"/>
      <c r="N142" s="146"/>
      <c r="O142" s="146"/>
    </row>
    <row r="143" spans="1:15" x14ac:dyDescent="0.2">
      <c r="A143" s="236"/>
      <c r="B143" s="48" t="str">
        <f t="shared" si="15"/>
        <v>August</v>
      </c>
      <c r="C143" s="199">
        <f t="shared" si="24"/>
        <v>6826.3192799999997</v>
      </c>
      <c r="D143" s="199">
        <f t="shared" si="24"/>
        <v>2213.2251499999998</v>
      </c>
      <c r="E143" s="199">
        <f t="shared" si="25"/>
        <v>983.95093817357883</v>
      </c>
      <c r="F143" s="199">
        <f t="shared" si="26"/>
        <v>10023.495368173579</v>
      </c>
      <c r="G143" s="201">
        <f t="shared" si="27"/>
        <v>55335.38008977125</v>
      </c>
      <c r="H143" s="146"/>
      <c r="I143" s="146"/>
      <c r="J143" s="146"/>
      <c r="K143" s="146"/>
      <c r="L143" s="146"/>
      <c r="M143" s="146"/>
      <c r="N143" s="146"/>
      <c r="O143" s="146"/>
    </row>
    <row r="144" spans="1:15" x14ac:dyDescent="0.2">
      <c r="A144" s="236"/>
      <c r="B144" s="48" t="str">
        <f t="shared" si="15"/>
        <v>September</v>
      </c>
      <c r="C144" s="199">
        <f t="shared" si="24"/>
        <v>7842.7704000000012</v>
      </c>
      <c r="D144" s="199">
        <f t="shared" si="24"/>
        <v>3169.7172</v>
      </c>
      <c r="E144" s="199">
        <f t="shared" si="25"/>
        <v>862.34126451795203</v>
      </c>
      <c r="F144" s="199">
        <f t="shared" si="26"/>
        <v>11874.828864517953</v>
      </c>
      <c r="G144" s="201">
        <f t="shared" si="27"/>
        <v>67210.208954289206</v>
      </c>
      <c r="H144" s="146"/>
      <c r="I144" s="146"/>
      <c r="J144" s="146"/>
      <c r="K144" s="146"/>
      <c r="L144" s="146"/>
      <c r="M144" s="146"/>
      <c r="N144" s="146"/>
      <c r="O144" s="146"/>
    </row>
    <row r="145" spans="1:7" x14ac:dyDescent="0.2">
      <c r="A145" s="236"/>
      <c r="B145" s="48" t="str">
        <f>B133</f>
        <v>October</v>
      </c>
      <c r="C145" s="199">
        <f t="shared" si="24"/>
        <v>10420.124</v>
      </c>
      <c r="D145" s="199">
        <f>IF(ISERR(D13+D25+D37+D49+D61+D73+D85+D97+D109+D121+D133), "-", (D13+D25+D37+D49+D61+D73+D85+D97+D109+D121+D133))</f>
        <v>4745.7510000000002</v>
      </c>
      <c r="E145" s="199">
        <v>1110.6367824865069</v>
      </c>
      <c r="F145" s="199">
        <f>SUM(C145:E145)</f>
        <v>16276.511782486506</v>
      </c>
      <c r="G145" s="201">
        <f>F145+G144</f>
        <v>83486.720736775707</v>
      </c>
    </row>
    <row r="146" spans="1:7" x14ac:dyDescent="0.2">
      <c r="A146" s="236"/>
      <c r="B146" s="48" t="str">
        <f>B134</f>
        <v>November</v>
      </c>
      <c r="C146" s="199">
        <f t="shared" si="24"/>
        <v>3864.1896000000002</v>
      </c>
      <c r="D146" s="199">
        <f>IF(ISERR(D14+D26+D38+D50+D62+D74+D86+D98+D110+D122+D134), "-", (D14+D26+D38+D50+D62+D74+D86+D98+D110+D122+D134))</f>
        <v>4548.1672999999992</v>
      </c>
      <c r="E146" s="199">
        <v>525.83469120718121</v>
      </c>
      <c r="F146" s="199">
        <f>SUM(C146:E146)</f>
        <v>8938.19159120718</v>
      </c>
      <c r="G146" s="201">
        <f>F146+G145</f>
        <v>92424.912327982893</v>
      </c>
    </row>
    <row r="147" spans="1:7" x14ac:dyDescent="0.2">
      <c r="A147" s="236"/>
      <c r="B147" s="48" t="str">
        <f>B135</f>
        <v>December</v>
      </c>
      <c r="C147" s="199">
        <f t="shared" si="24"/>
        <v>4218.5555783758264</v>
      </c>
      <c r="D147" s="199">
        <f>IF(ISERR(D15+D27+D39+D51+D63+D75+D87+D99+D111+D123+D135), "-", (D15+D27+D39+D51+D63+D75+D87+D99+D111+D123+D135))</f>
        <v>5636.531438189566</v>
      </c>
      <c r="E147" s="199">
        <f>IF(ISERR(E15+E27+E39+E51+E63+E75+E87+E99+E111+E123+E135), "-", (E15+E27+E39+E51+E63+E75+E87+E99+E111+E123+E135))</f>
        <v>866.36218262231887</v>
      </c>
      <c r="F147" s="199">
        <f>SUM(C147:E147)</f>
        <v>10721.449199187711</v>
      </c>
      <c r="G147" s="201">
        <f>F147+G146</f>
        <v>103146.36152717061</v>
      </c>
    </row>
    <row r="149" spans="1:7" x14ac:dyDescent="0.2">
      <c r="A149" s="147" t="s">
        <v>18</v>
      </c>
      <c r="B149" s="146"/>
      <c r="C149" s="146"/>
      <c r="D149" s="146"/>
      <c r="E149" s="146"/>
      <c r="F149" s="146"/>
      <c r="G149" s="146"/>
    </row>
    <row r="150" spans="1:7" x14ac:dyDescent="0.2">
      <c r="A150" s="147" t="s">
        <v>98</v>
      </c>
      <c r="B150" s="146"/>
      <c r="C150" s="146"/>
      <c r="D150" s="146"/>
      <c r="E150" s="146"/>
      <c r="F150" s="146"/>
      <c r="G150" s="146"/>
    </row>
    <row r="151" spans="1:7" x14ac:dyDescent="0.2">
      <c r="A151" s="50" t="s">
        <v>21</v>
      </c>
      <c r="B151" s="146"/>
      <c r="C151" s="146"/>
      <c r="D151" s="146"/>
      <c r="E151" s="146"/>
      <c r="F151" s="146"/>
      <c r="G151" s="146"/>
    </row>
    <row r="152" spans="1:7" x14ac:dyDescent="0.2">
      <c r="A152" s="50" t="s">
        <v>22</v>
      </c>
      <c r="B152" s="146"/>
      <c r="C152" s="146"/>
      <c r="D152" s="146"/>
      <c r="E152" s="146"/>
      <c r="F152" s="146"/>
      <c r="G152" s="146"/>
    </row>
    <row r="153" spans="1:7" x14ac:dyDescent="0.2">
      <c r="A153" s="50" t="s">
        <v>23</v>
      </c>
      <c r="B153" s="146"/>
      <c r="C153" s="146"/>
      <c r="D153" s="146"/>
      <c r="E153" s="146"/>
      <c r="F153" s="146"/>
      <c r="G153" s="146"/>
    </row>
    <row r="154" spans="1:7" x14ac:dyDescent="0.2">
      <c r="A154" s="50" t="s">
        <v>24</v>
      </c>
      <c r="B154" s="146"/>
      <c r="C154" s="146"/>
      <c r="D154" s="146"/>
      <c r="E154" s="146"/>
      <c r="F154" s="146"/>
      <c r="G154" s="146"/>
    </row>
    <row r="155" spans="1:7" x14ac:dyDescent="0.2">
      <c r="A155" s="50" t="s">
        <v>99</v>
      </c>
      <c r="B155" s="146"/>
      <c r="C155" s="146"/>
      <c r="D155" s="146"/>
      <c r="E155" s="146"/>
      <c r="F155" s="146"/>
      <c r="G155" s="146"/>
    </row>
    <row r="156" spans="1:7" x14ac:dyDescent="0.2">
      <c r="A156" s="50" t="s">
        <v>26</v>
      </c>
      <c r="B156" s="146"/>
      <c r="C156" s="146"/>
      <c r="D156" s="146"/>
      <c r="E156" s="146"/>
      <c r="F156" s="146"/>
      <c r="G156" s="146"/>
    </row>
    <row r="157" spans="1:7" x14ac:dyDescent="0.2">
      <c r="A157" s="50" t="s">
        <v>27</v>
      </c>
      <c r="B157" s="146"/>
      <c r="C157" s="146"/>
      <c r="D157" s="146"/>
      <c r="E157" s="146"/>
      <c r="F157" s="146"/>
      <c r="G157" s="146"/>
    </row>
    <row r="158" spans="1:7" x14ac:dyDescent="0.2">
      <c r="A158" s="50" t="s">
        <v>28</v>
      </c>
      <c r="B158" s="146"/>
      <c r="C158" s="146"/>
      <c r="D158" s="146"/>
      <c r="E158" s="146"/>
      <c r="F158" s="146"/>
      <c r="G158" s="146"/>
    </row>
    <row r="159" spans="1:7" x14ac:dyDescent="0.2">
      <c r="A159" s="50" t="s">
        <v>29</v>
      </c>
      <c r="B159" s="146"/>
      <c r="C159" s="146"/>
      <c r="D159" s="146"/>
      <c r="E159" s="146"/>
      <c r="F159" s="146"/>
      <c r="G159" s="146"/>
    </row>
    <row r="160" spans="1:7" x14ac:dyDescent="0.2">
      <c r="A160" s="50" t="s">
        <v>100</v>
      </c>
      <c r="B160" s="146"/>
      <c r="C160" s="146"/>
      <c r="D160" s="146"/>
      <c r="E160" s="146"/>
      <c r="F160" s="146"/>
      <c r="G160" s="146"/>
    </row>
    <row r="161" spans="1:1" x14ac:dyDescent="0.2">
      <c r="A161" s="50" t="s">
        <v>101</v>
      </c>
    </row>
  </sheetData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honeticPr fontId="5" type="noConversion"/>
  <pageMargins left="0.75" right="0.75" top="1" bottom="1" header="0.5" footer="0.5"/>
  <pageSetup orientation="portrait" r:id="rId1"/>
  <headerFooter alignWithMargins="0">
    <oddFooter>&amp;C&amp;P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54" customWidth="1"/>
    <col min="9" max="9" width="58.85546875" bestFit="1" customWidth="1"/>
  </cols>
  <sheetData>
    <row r="1" spans="1:10" ht="15.75" x14ac:dyDescent="0.25">
      <c r="A1" s="31" t="s">
        <v>102</v>
      </c>
      <c r="H1" s="146"/>
      <c r="I1" s="146"/>
      <c r="J1" s="146"/>
    </row>
    <row r="3" spans="1:10" ht="33" customHeight="1" x14ac:dyDescent="0.2">
      <c r="A3" s="2" t="s">
        <v>3</v>
      </c>
      <c r="B3" s="9" t="s">
        <v>4</v>
      </c>
      <c r="C3" s="9" t="s">
        <v>103</v>
      </c>
      <c r="D3" s="9" t="s">
        <v>104</v>
      </c>
      <c r="E3" s="9" t="s">
        <v>105</v>
      </c>
      <c r="F3" s="9" t="s">
        <v>32</v>
      </c>
      <c r="G3" s="55" t="s">
        <v>36</v>
      </c>
      <c r="H3" s="146"/>
      <c r="I3" s="146"/>
      <c r="J3" s="146"/>
    </row>
    <row r="4" spans="1:10" x14ac:dyDescent="0.2">
      <c r="A4" s="237" t="s">
        <v>83</v>
      </c>
      <c r="B4" s="6" t="s">
        <v>106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56">
        <f>E4*F4</f>
        <v>1460.3728572611496</v>
      </c>
      <c r="H4" s="146"/>
      <c r="I4" s="146"/>
      <c r="J4" s="146"/>
    </row>
    <row r="5" spans="1:10" x14ac:dyDescent="0.2">
      <c r="A5" s="237"/>
      <c r="B5" s="6" t="s">
        <v>107</v>
      </c>
      <c r="C5" s="12">
        <v>38782</v>
      </c>
      <c r="D5" s="13">
        <v>154174</v>
      </c>
      <c r="E5" s="13">
        <v>22448</v>
      </c>
      <c r="F5" s="25">
        <v>9.6420041623540662E-2</v>
      </c>
      <c r="G5" s="56">
        <f>E5*F5</f>
        <v>2164.4370943652407</v>
      </c>
      <c r="H5" s="146"/>
      <c r="I5" s="44" t="s">
        <v>108</v>
      </c>
      <c r="J5" s="60">
        <f>E13/E5</f>
        <v>1.2821632216678547</v>
      </c>
    </row>
    <row r="6" spans="1:10" x14ac:dyDescent="0.2">
      <c r="A6" s="237"/>
      <c r="B6" s="6" t="s">
        <v>109</v>
      </c>
      <c r="C6" s="12">
        <v>38811</v>
      </c>
      <c r="D6" s="13">
        <v>180116</v>
      </c>
      <c r="E6" s="13">
        <v>25942</v>
      </c>
      <c r="F6" s="25">
        <v>9.6879999999999994E-2</v>
      </c>
      <c r="G6" s="56">
        <f>E6*0.09688</f>
        <v>2513.2609600000001</v>
      </c>
      <c r="H6" s="146"/>
      <c r="I6" s="146" t="s">
        <v>110</v>
      </c>
      <c r="J6" s="60">
        <f>E11/E5</f>
        <v>0.86537776193870275</v>
      </c>
    </row>
    <row r="7" spans="1:10" x14ac:dyDescent="0.2">
      <c r="A7" s="237"/>
      <c r="B7" s="6" t="s">
        <v>111</v>
      </c>
      <c r="C7" s="12">
        <v>38838</v>
      </c>
      <c r="D7" s="13">
        <v>201334</v>
      </c>
      <c r="E7" s="13">
        <v>21218</v>
      </c>
      <c r="F7" s="25">
        <v>0.10269</v>
      </c>
      <c r="G7" s="56">
        <f>E7*0.10269</f>
        <v>2178.8764200000001</v>
      </c>
      <c r="H7" s="146"/>
      <c r="I7" s="146" t="s">
        <v>112</v>
      </c>
      <c r="J7" s="60">
        <f>(SUM(E16:E27)+SUM(E4:E15))/SUM(E4:E15)</f>
        <v>1.4730831902442443</v>
      </c>
    </row>
    <row r="8" spans="1:10" x14ac:dyDescent="0.2">
      <c r="A8" s="237"/>
      <c r="B8" s="6" t="s">
        <v>113</v>
      </c>
      <c r="C8" s="12">
        <v>38869</v>
      </c>
      <c r="D8" s="13">
        <v>220390</v>
      </c>
      <c r="E8" s="13">
        <v>19056</v>
      </c>
      <c r="F8" s="25">
        <v>0.12096</v>
      </c>
      <c r="G8" s="56">
        <f>E8*0.12096</f>
        <v>2305.0137599999998</v>
      </c>
      <c r="H8" s="146"/>
      <c r="I8" s="146"/>
      <c r="J8" s="146"/>
    </row>
    <row r="9" spans="1:10" x14ac:dyDescent="0.2">
      <c r="A9" s="237"/>
      <c r="B9" s="6" t="s">
        <v>114</v>
      </c>
      <c r="C9" s="12">
        <v>38896</v>
      </c>
      <c r="D9" s="13">
        <v>232343</v>
      </c>
      <c r="E9" s="13">
        <v>11953</v>
      </c>
      <c r="F9" s="25">
        <v>0.11636932</v>
      </c>
      <c r="G9" s="56">
        <f>E9*0.11636932</f>
        <v>1390.9624819599999</v>
      </c>
      <c r="H9" s="146"/>
      <c r="I9" s="146"/>
      <c r="J9" s="146"/>
    </row>
    <row r="10" spans="1:10" x14ac:dyDescent="0.2">
      <c r="A10" s="237"/>
      <c r="B10" s="6" t="s">
        <v>115</v>
      </c>
      <c r="C10" s="12">
        <v>38925</v>
      </c>
      <c r="D10" s="13">
        <v>248038</v>
      </c>
      <c r="E10" s="13">
        <v>15695</v>
      </c>
      <c r="F10" s="25">
        <v>0.11636932</v>
      </c>
      <c r="G10" s="56">
        <f>E10*0.11636932</f>
        <v>1826.4164774000001</v>
      </c>
      <c r="H10" s="146"/>
      <c r="I10" s="146"/>
      <c r="J10" s="146"/>
    </row>
    <row r="11" spans="1:10" x14ac:dyDescent="0.2">
      <c r="A11" s="237"/>
      <c r="B11" s="6" t="s">
        <v>116</v>
      </c>
      <c r="C11" s="12">
        <v>38965</v>
      </c>
      <c r="D11" s="13">
        <v>267464</v>
      </c>
      <c r="E11" s="13">
        <v>19426</v>
      </c>
      <c r="F11" s="25">
        <v>0.11484</v>
      </c>
      <c r="G11" s="56">
        <f>E11*0.11484</f>
        <v>2230.88184</v>
      </c>
      <c r="H11" s="146"/>
      <c r="I11" s="146"/>
      <c r="J11" s="146"/>
    </row>
    <row r="12" spans="1:10" x14ac:dyDescent="0.2">
      <c r="A12" s="237"/>
      <c r="B12" s="6" t="s">
        <v>117</v>
      </c>
      <c r="C12" s="12">
        <v>38993</v>
      </c>
      <c r="D12" s="13">
        <v>286756</v>
      </c>
      <c r="E12" s="13">
        <v>19292</v>
      </c>
      <c r="F12" s="25">
        <v>0.12720000000000001</v>
      </c>
      <c r="G12" s="56">
        <f t="shared" ref="G12:G17" si="0">E12*F12</f>
        <v>2453.9424000000004</v>
      </c>
      <c r="H12" s="146"/>
      <c r="I12" s="146"/>
      <c r="J12" s="146"/>
    </row>
    <row r="13" spans="1:10" x14ac:dyDescent="0.2">
      <c r="A13" s="237"/>
      <c r="B13" s="6" t="s">
        <v>118</v>
      </c>
      <c r="C13" s="12">
        <v>39035</v>
      </c>
      <c r="D13" s="13">
        <v>315538</v>
      </c>
      <c r="E13" s="13">
        <v>28782</v>
      </c>
      <c r="F13" s="53">
        <v>0.1144</v>
      </c>
      <c r="G13" s="56">
        <f t="shared" si="0"/>
        <v>3292.6608000000001</v>
      </c>
      <c r="H13" s="146"/>
      <c r="I13" s="146"/>
      <c r="J13" s="146"/>
    </row>
    <row r="14" spans="1:10" x14ac:dyDescent="0.2">
      <c r="A14" s="237"/>
      <c r="B14" s="6" t="s">
        <v>119</v>
      </c>
      <c r="C14" s="12">
        <v>39056</v>
      </c>
      <c r="D14" s="13">
        <v>328546</v>
      </c>
      <c r="E14" s="13">
        <v>13008</v>
      </c>
      <c r="F14" s="53">
        <v>8.9300000000000004E-2</v>
      </c>
      <c r="G14" s="56">
        <f t="shared" si="0"/>
        <v>1161.6144000000002</v>
      </c>
      <c r="H14" s="146"/>
      <c r="I14" s="146"/>
      <c r="J14" s="146"/>
    </row>
    <row r="15" spans="1:10" x14ac:dyDescent="0.2">
      <c r="A15" s="237"/>
      <c r="B15" s="6" t="s">
        <v>120</v>
      </c>
      <c r="C15" s="12">
        <v>38725</v>
      </c>
      <c r="D15" s="13">
        <v>343366</v>
      </c>
      <c r="E15" s="13">
        <v>14820</v>
      </c>
      <c r="F15" s="53">
        <v>9.0713822001888572E-2</v>
      </c>
      <c r="G15" s="56">
        <f t="shared" si="0"/>
        <v>1344.3788420679887</v>
      </c>
      <c r="H15" s="146"/>
      <c r="I15" s="146"/>
      <c r="J15" s="146"/>
    </row>
    <row r="16" spans="1:10" x14ac:dyDescent="0.2">
      <c r="A16" s="237" t="s">
        <v>68</v>
      </c>
      <c r="B16" s="6" t="s">
        <v>106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56">
        <f t="shared" si="0"/>
        <v>754.12265521752818</v>
      </c>
      <c r="H16" s="146"/>
      <c r="I16" s="146"/>
      <c r="J16" s="146"/>
    </row>
    <row r="17" spans="1:7" x14ac:dyDescent="0.2">
      <c r="A17" s="237"/>
      <c r="B17" s="6" t="s">
        <v>107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56">
        <f t="shared" si="0"/>
        <v>1140.2634122399918</v>
      </c>
    </row>
    <row r="18" spans="1:7" x14ac:dyDescent="0.2">
      <c r="A18" s="237"/>
      <c r="B18" s="6" t="s">
        <v>109</v>
      </c>
      <c r="C18" s="12">
        <v>38811</v>
      </c>
      <c r="D18" s="13">
        <v>87253</v>
      </c>
      <c r="E18" s="13">
        <v>8633</v>
      </c>
      <c r="F18" s="25">
        <v>9.6879999999999994E-2</v>
      </c>
      <c r="G18" s="56">
        <f>E18*0.09688</f>
        <v>836.36503999999991</v>
      </c>
    </row>
    <row r="19" spans="1:7" x14ac:dyDescent="0.2">
      <c r="A19" s="237"/>
      <c r="B19" s="6" t="s">
        <v>111</v>
      </c>
      <c r="C19" s="12">
        <v>38838</v>
      </c>
      <c r="D19" s="13">
        <v>97941</v>
      </c>
      <c r="E19" s="13">
        <v>10688</v>
      </c>
      <c r="F19" s="25">
        <v>0.10269</v>
      </c>
      <c r="G19" s="56">
        <f>E19*0.10269</f>
        <v>1097.55072</v>
      </c>
    </row>
    <row r="20" spans="1:7" x14ac:dyDescent="0.2">
      <c r="A20" s="237"/>
      <c r="B20" s="6" t="s">
        <v>113</v>
      </c>
      <c r="C20" s="12">
        <v>38869</v>
      </c>
      <c r="D20" s="13">
        <v>104773</v>
      </c>
      <c r="E20" s="13">
        <v>6832</v>
      </c>
      <c r="F20" s="25">
        <v>0.12096</v>
      </c>
      <c r="G20" s="56">
        <f>E20*0.12096</f>
        <v>826.39872000000003</v>
      </c>
    </row>
    <row r="21" spans="1:7" x14ac:dyDescent="0.2">
      <c r="A21" s="237"/>
      <c r="B21" s="6" t="s">
        <v>114</v>
      </c>
      <c r="C21" s="12">
        <v>38896</v>
      </c>
      <c r="D21" s="13">
        <v>111739</v>
      </c>
      <c r="E21" s="13">
        <v>6966</v>
      </c>
      <c r="F21" s="25">
        <v>0.11636932</v>
      </c>
      <c r="G21" s="56">
        <f>E21*0.11636932</f>
        <v>810.62868312000001</v>
      </c>
    </row>
    <row r="22" spans="1:7" x14ac:dyDescent="0.2">
      <c r="A22" s="237"/>
      <c r="B22" s="6" t="s">
        <v>115</v>
      </c>
      <c r="C22" s="12">
        <v>38925</v>
      </c>
      <c r="D22" s="13">
        <v>121057</v>
      </c>
      <c r="E22" s="13">
        <v>9318</v>
      </c>
      <c r="F22" s="25">
        <v>0.11636932</v>
      </c>
      <c r="G22" s="56">
        <f>E22*0.11636932</f>
        <v>1084.3293237600001</v>
      </c>
    </row>
    <row r="23" spans="1:7" x14ac:dyDescent="0.2">
      <c r="A23" s="237"/>
      <c r="B23" s="6" t="s">
        <v>116</v>
      </c>
      <c r="C23" s="12">
        <v>38965</v>
      </c>
      <c r="D23" s="13">
        <v>130816</v>
      </c>
      <c r="E23" s="13">
        <v>9759</v>
      </c>
      <c r="F23" s="25">
        <v>0.11484</v>
      </c>
      <c r="G23" s="56">
        <f>E23*0.11484</f>
        <v>1120.7235599999999</v>
      </c>
    </row>
    <row r="24" spans="1:7" x14ac:dyDescent="0.2">
      <c r="A24" s="237"/>
      <c r="B24" s="6" t="s">
        <v>117</v>
      </c>
      <c r="C24" s="12">
        <v>38993</v>
      </c>
      <c r="D24" s="13">
        <v>139074</v>
      </c>
      <c r="E24" s="13">
        <v>8258</v>
      </c>
      <c r="F24" s="25">
        <v>0.12720000000000001</v>
      </c>
      <c r="G24" s="56">
        <f t="shared" ref="G24:G29" si="1">E24*F24</f>
        <v>1050.4176</v>
      </c>
    </row>
    <row r="25" spans="1:7" x14ac:dyDescent="0.2">
      <c r="A25" s="237"/>
      <c r="B25" s="6" t="s">
        <v>118</v>
      </c>
      <c r="C25" s="12">
        <v>39035</v>
      </c>
      <c r="D25" s="13">
        <v>151403</v>
      </c>
      <c r="E25" s="13">
        <v>12329</v>
      </c>
      <c r="F25" s="53">
        <v>0.1144</v>
      </c>
      <c r="G25" s="56">
        <f t="shared" si="1"/>
        <v>1410.4376</v>
      </c>
    </row>
    <row r="26" spans="1:7" x14ac:dyDescent="0.2">
      <c r="A26" s="237"/>
      <c r="B26" s="6" t="s">
        <v>119</v>
      </c>
      <c r="C26" s="12">
        <v>39056</v>
      </c>
      <c r="D26" s="13">
        <v>157658</v>
      </c>
      <c r="E26" s="13">
        <v>6255</v>
      </c>
      <c r="F26" s="53">
        <v>8.9300000000000004E-2</v>
      </c>
      <c r="G26" s="56">
        <f t="shared" si="1"/>
        <v>558.57150000000001</v>
      </c>
    </row>
    <row r="27" spans="1:7" x14ac:dyDescent="0.2">
      <c r="A27" s="237"/>
      <c r="B27" s="6" t="s">
        <v>120</v>
      </c>
      <c r="C27" s="12">
        <v>38725</v>
      </c>
      <c r="D27" s="13">
        <v>166196</v>
      </c>
      <c r="E27" s="13">
        <v>8538</v>
      </c>
      <c r="F27" s="53">
        <v>9.0713822001888572E-2</v>
      </c>
      <c r="G27" s="56">
        <f t="shared" si="1"/>
        <v>774.51461225212461</v>
      </c>
    </row>
    <row r="28" spans="1:7" x14ac:dyDescent="0.2">
      <c r="A28" s="237" t="s">
        <v>69</v>
      </c>
      <c r="B28" s="6" t="s">
        <v>106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56">
        <f t="shared" si="1"/>
        <v>306.96237831840091</v>
      </c>
    </row>
    <row r="29" spans="1:7" x14ac:dyDescent="0.2">
      <c r="A29" s="237"/>
      <c r="B29" s="6" t="s">
        <v>107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56">
        <f t="shared" si="1"/>
        <v>588.64435411171576</v>
      </c>
    </row>
    <row r="30" spans="1:7" x14ac:dyDescent="0.2">
      <c r="A30" s="237"/>
      <c r="B30" s="6" t="s">
        <v>109</v>
      </c>
      <c r="C30" s="12">
        <v>38811</v>
      </c>
      <c r="D30" s="13">
        <v>42917</v>
      </c>
      <c r="E30" s="13">
        <v>4440</v>
      </c>
      <c r="F30" s="25">
        <v>9.6879999999999994E-2</v>
      </c>
      <c r="G30" s="56">
        <f>E30*0.09688</f>
        <v>430.1472</v>
      </c>
    </row>
    <row r="31" spans="1:7" x14ac:dyDescent="0.2">
      <c r="A31" s="237"/>
      <c r="B31" s="6" t="s">
        <v>111</v>
      </c>
      <c r="C31" s="12">
        <v>38838</v>
      </c>
      <c r="D31" s="13">
        <v>47725</v>
      </c>
      <c r="E31" s="13">
        <v>4808</v>
      </c>
      <c r="F31" s="25">
        <v>0.10269</v>
      </c>
      <c r="G31" s="56">
        <f>E31*0.10269</f>
        <v>493.73352</v>
      </c>
    </row>
    <row r="32" spans="1:7" x14ac:dyDescent="0.2">
      <c r="A32" s="237"/>
      <c r="B32" s="6" t="s">
        <v>113</v>
      </c>
      <c r="C32" s="12">
        <v>38869</v>
      </c>
      <c r="D32" s="13">
        <v>51150</v>
      </c>
      <c r="E32" s="13">
        <v>3425</v>
      </c>
      <c r="F32" s="25">
        <v>0.12096</v>
      </c>
      <c r="G32" s="56">
        <f>E32*0.12096</f>
        <v>414.28800000000001</v>
      </c>
    </row>
    <row r="33" spans="1:7" x14ac:dyDescent="0.2">
      <c r="A33" s="237"/>
      <c r="B33" s="6" t="s">
        <v>114</v>
      </c>
      <c r="C33" s="12">
        <v>38896</v>
      </c>
      <c r="D33" s="13">
        <v>52405</v>
      </c>
      <c r="E33" s="13">
        <v>1255</v>
      </c>
      <c r="F33" s="25">
        <v>0.11636932</v>
      </c>
      <c r="G33" s="56">
        <f>E33*0.11636932</f>
        <v>146.0434966</v>
      </c>
    </row>
    <row r="34" spans="1:7" x14ac:dyDescent="0.2">
      <c r="A34" s="237"/>
      <c r="B34" s="6" t="s">
        <v>115</v>
      </c>
      <c r="C34" s="12">
        <v>38925</v>
      </c>
      <c r="D34" s="13">
        <v>55077</v>
      </c>
      <c r="E34" s="13">
        <v>2672</v>
      </c>
      <c r="F34" s="25">
        <v>0.11636932</v>
      </c>
      <c r="G34" s="56">
        <f>E34*0.11636932</f>
        <v>310.93882303999999</v>
      </c>
    </row>
    <row r="35" spans="1:7" x14ac:dyDescent="0.2">
      <c r="A35" s="237"/>
      <c r="B35" s="6" t="s">
        <v>116</v>
      </c>
      <c r="C35" s="12">
        <v>38965</v>
      </c>
      <c r="D35" s="13">
        <v>58825</v>
      </c>
      <c r="E35" s="13">
        <v>3748</v>
      </c>
      <c r="F35" s="25">
        <v>0.11484</v>
      </c>
      <c r="G35" s="56">
        <f>E35*0.11484</f>
        <v>430.42032</v>
      </c>
    </row>
    <row r="36" spans="1:7" x14ac:dyDescent="0.2">
      <c r="A36" s="237"/>
      <c r="B36" s="6" t="s">
        <v>117</v>
      </c>
      <c r="C36" s="12">
        <v>38993</v>
      </c>
      <c r="D36" s="13">
        <v>63996</v>
      </c>
      <c r="E36" s="13">
        <v>5171</v>
      </c>
      <c r="F36" s="25">
        <v>0.12720000000000001</v>
      </c>
      <c r="G36" s="56">
        <f t="shared" ref="G36:G41" si="2">E36*F36</f>
        <v>657.75120000000004</v>
      </c>
    </row>
    <row r="37" spans="1:7" x14ac:dyDescent="0.2">
      <c r="A37" s="237"/>
      <c r="B37" s="6" t="s">
        <v>118</v>
      </c>
      <c r="C37" s="12">
        <v>39035</v>
      </c>
      <c r="D37" s="13">
        <v>71634</v>
      </c>
      <c r="E37" s="13">
        <v>7638</v>
      </c>
      <c r="F37" s="53">
        <v>0.1144</v>
      </c>
      <c r="G37" s="56">
        <f t="shared" si="2"/>
        <v>873.78719999999998</v>
      </c>
    </row>
    <row r="38" spans="1:7" x14ac:dyDescent="0.2">
      <c r="A38" s="237"/>
      <c r="B38" s="6" t="s">
        <v>119</v>
      </c>
      <c r="C38" s="12">
        <v>39056</v>
      </c>
      <c r="D38" s="13">
        <v>75322</v>
      </c>
      <c r="E38" s="13">
        <v>3688</v>
      </c>
      <c r="F38" s="53">
        <v>8.9300000000000004E-2</v>
      </c>
      <c r="G38" s="56">
        <f t="shared" si="2"/>
        <v>329.33840000000004</v>
      </c>
    </row>
    <row r="39" spans="1:7" x14ac:dyDescent="0.2">
      <c r="A39" s="237"/>
      <c r="B39" s="6" t="s">
        <v>120</v>
      </c>
      <c r="C39" s="12">
        <v>38725</v>
      </c>
      <c r="D39" s="13">
        <v>78352</v>
      </c>
      <c r="E39" s="13">
        <v>3030</v>
      </c>
      <c r="F39" s="53">
        <v>9.0713822001888572E-2</v>
      </c>
      <c r="G39" s="56">
        <f t="shared" si="2"/>
        <v>274.8628806657224</v>
      </c>
    </row>
    <row r="40" spans="1:7" x14ac:dyDescent="0.2">
      <c r="A40" s="237" t="s">
        <v>70</v>
      </c>
      <c r="B40" s="6" t="s">
        <v>106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56">
        <f t="shared" si="2"/>
        <v>77.332424357849064</v>
      </c>
    </row>
    <row r="41" spans="1:7" x14ac:dyDescent="0.2">
      <c r="A41" s="237"/>
      <c r="B41" s="6" t="s">
        <v>107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56">
        <f t="shared" si="2"/>
        <v>153.78996638954735</v>
      </c>
    </row>
    <row r="42" spans="1:7" x14ac:dyDescent="0.2">
      <c r="A42" s="237"/>
      <c r="B42" s="6" t="s">
        <v>109</v>
      </c>
      <c r="C42" s="12">
        <v>38811</v>
      </c>
      <c r="D42" s="13">
        <v>10629</v>
      </c>
      <c r="E42" s="13">
        <v>965</v>
      </c>
      <c r="F42" s="25">
        <v>9.6879999999999994E-2</v>
      </c>
      <c r="G42" s="56">
        <f>E42*0.09688</f>
        <v>93.489199999999997</v>
      </c>
    </row>
    <row r="43" spans="1:7" x14ac:dyDescent="0.2">
      <c r="A43" s="237"/>
      <c r="B43" s="6" t="s">
        <v>111</v>
      </c>
      <c r="C43" s="12">
        <v>38838</v>
      </c>
      <c r="D43" s="13">
        <v>11744</v>
      </c>
      <c r="E43" s="13">
        <v>1115</v>
      </c>
      <c r="F43" s="25">
        <v>0.10269</v>
      </c>
      <c r="G43" s="56">
        <f>E43*0.10269</f>
        <v>114.49935000000001</v>
      </c>
    </row>
    <row r="44" spans="1:7" x14ac:dyDescent="0.2">
      <c r="A44" s="237"/>
      <c r="B44" s="6" t="s">
        <v>113</v>
      </c>
      <c r="C44" s="12">
        <v>38869</v>
      </c>
      <c r="D44" s="13">
        <v>12593</v>
      </c>
      <c r="E44" s="13">
        <v>849</v>
      </c>
      <c r="F44" s="25">
        <v>0.12096</v>
      </c>
      <c r="G44" s="56">
        <f>E44*0.12096</f>
        <v>102.69503999999999</v>
      </c>
    </row>
    <row r="45" spans="1:7" x14ac:dyDescent="0.2">
      <c r="A45" s="237"/>
      <c r="B45" s="6" t="s">
        <v>114</v>
      </c>
      <c r="C45" s="12">
        <v>38896</v>
      </c>
      <c r="D45" s="13">
        <v>12883</v>
      </c>
      <c r="E45" s="13">
        <v>290</v>
      </c>
      <c r="F45" s="25">
        <v>0.11636932</v>
      </c>
      <c r="G45" s="56">
        <f>E45*0.11636932</f>
        <v>33.7471028</v>
      </c>
    </row>
    <row r="46" spans="1:7" x14ac:dyDescent="0.2">
      <c r="A46" s="237"/>
      <c r="B46" s="6" t="s">
        <v>115</v>
      </c>
      <c r="C46" s="12">
        <v>38925</v>
      </c>
      <c r="D46" s="13">
        <v>13948</v>
      </c>
      <c r="E46" s="13">
        <v>1065</v>
      </c>
      <c r="F46" s="25">
        <v>0.11636932</v>
      </c>
      <c r="G46" s="56">
        <f>E46*0.11636932</f>
        <v>123.93332579999999</v>
      </c>
    </row>
    <row r="47" spans="1:7" x14ac:dyDescent="0.2">
      <c r="A47" s="237"/>
      <c r="B47" s="6" t="s">
        <v>116</v>
      </c>
      <c r="C47" s="12">
        <v>38965</v>
      </c>
      <c r="D47" s="13">
        <v>14825</v>
      </c>
      <c r="E47" s="13">
        <v>877</v>
      </c>
      <c r="F47" s="25">
        <v>0.11484</v>
      </c>
      <c r="G47" s="56">
        <f>E47*0.11484</f>
        <v>100.71468</v>
      </c>
    </row>
    <row r="48" spans="1:7" x14ac:dyDescent="0.2">
      <c r="A48" s="237"/>
      <c r="B48" s="6" t="s">
        <v>117</v>
      </c>
      <c r="C48" s="12">
        <v>38993</v>
      </c>
      <c r="D48" s="13">
        <v>15742</v>
      </c>
      <c r="E48" s="13">
        <v>917</v>
      </c>
      <c r="F48" s="25">
        <v>0.12720000000000001</v>
      </c>
      <c r="G48" s="56">
        <f t="shared" ref="G48:G53" si="3">E48*F48</f>
        <v>116.64240000000001</v>
      </c>
    </row>
    <row r="49" spans="1:7" x14ac:dyDescent="0.2">
      <c r="A49" s="237"/>
      <c r="B49" s="6" t="s">
        <v>118</v>
      </c>
      <c r="C49" s="12">
        <v>39035</v>
      </c>
      <c r="D49" s="13">
        <v>16958</v>
      </c>
      <c r="E49" s="13">
        <v>1216</v>
      </c>
      <c r="F49" s="53">
        <v>0.1144</v>
      </c>
      <c r="G49" s="56">
        <f t="shared" si="3"/>
        <v>139.1104</v>
      </c>
    </row>
    <row r="50" spans="1:7" x14ac:dyDescent="0.2">
      <c r="A50" s="237"/>
      <c r="B50" s="6" t="s">
        <v>119</v>
      </c>
      <c r="C50" s="12">
        <v>39056</v>
      </c>
      <c r="D50" s="13">
        <v>17499</v>
      </c>
      <c r="E50" s="13">
        <v>541</v>
      </c>
      <c r="F50" s="53">
        <v>8.9300000000000004E-2</v>
      </c>
      <c r="G50" s="56">
        <f t="shared" si="3"/>
        <v>48.311300000000003</v>
      </c>
    </row>
    <row r="51" spans="1:7" x14ac:dyDescent="0.2">
      <c r="A51" s="237"/>
      <c r="B51" s="6" t="s">
        <v>120</v>
      </c>
      <c r="C51" s="12">
        <v>38725</v>
      </c>
      <c r="D51" s="13">
        <v>18067</v>
      </c>
      <c r="E51" s="13">
        <v>568</v>
      </c>
      <c r="F51" s="53">
        <v>9.0713822001888572E-2</v>
      </c>
      <c r="G51" s="56">
        <f t="shared" si="3"/>
        <v>51.525450897072709</v>
      </c>
    </row>
    <row r="52" spans="1:7" x14ac:dyDescent="0.2">
      <c r="A52" s="237" t="s">
        <v>71</v>
      </c>
      <c r="B52" s="6" t="s">
        <v>106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56">
        <f t="shared" si="3"/>
        <v>976.56297335342731</v>
      </c>
    </row>
    <row r="53" spans="1:7" x14ac:dyDescent="0.2">
      <c r="A53" s="237"/>
      <c r="B53" s="6" t="s">
        <v>107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56">
        <f t="shared" si="3"/>
        <v>1999.4624031473627</v>
      </c>
    </row>
    <row r="54" spans="1:7" x14ac:dyDescent="0.2">
      <c r="A54" s="237"/>
      <c r="B54" s="6" t="s">
        <v>109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56">
        <f>E54*0.09688</f>
        <v>1398.4628</v>
      </c>
    </row>
    <row r="55" spans="1:7" x14ac:dyDescent="0.2">
      <c r="A55" s="237"/>
      <c r="B55" s="6" t="s">
        <v>111</v>
      </c>
      <c r="C55" s="12">
        <v>38838</v>
      </c>
      <c r="D55" s="13">
        <v>151692</v>
      </c>
      <c r="E55" s="13">
        <v>16459</v>
      </c>
      <c r="F55" s="25">
        <v>0.10269</v>
      </c>
      <c r="G55" s="56">
        <f>E55*0.10269</f>
        <v>1690.17471</v>
      </c>
    </row>
    <row r="56" spans="1:7" x14ac:dyDescent="0.2">
      <c r="A56" s="237"/>
      <c r="B56" s="6" t="s">
        <v>113</v>
      </c>
      <c r="C56" s="12">
        <v>38869</v>
      </c>
      <c r="D56" s="13">
        <v>163453</v>
      </c>
      <c r="E56" s="13">
        <v>11761</v>
      </c>
      <c r="F56" s="25">
        <v>0.12096</v>
      </c>
      <c r="G56" s="56">
        <f>E56*0.12096</f>
        <v>1422.6105600000001</v>
      </c>
    </row>
    <row r="57" spans="1:7" x14ac:dyDescent="0.2">
      <c r="A57" s="237"/>
      <c r="B57" s="6" t="s">
        <v>114</v>
      </c>
      <c r="C57" s="12">
        <v>38896</v>
      </c>
      <c r="D57" s="13">
        <v>167840</v>
      </c>
      <c r="E57" s="13">
        <v>4387</v>
      </c>
      <c r="F57" s="25">
        <v>0.11636932</v>
      </c>
      <c r="G57" s="56">
        <f>E57*0.11636932</f>
        <v>510.51220683999998</v>
      </c>
    </row>
    <row r="58" spans="1:7" x14ac:dyDescent="0.2">
      <c r="A58" s="237"/>
      <c r="B58" s="6" t="s">
        <v>115</v>
      </c>
      <c r="C58" s="12">
        <v>38925</v>
      </c>
      <c r="D58" s="13">
        <v>173011</v>
      </c>
      <c r="E58" s="13">
        <v>5171</v>
      </c>
      <c r="F58" s="25">
        <v>0.11636932</v>
      </c>
      <c r="G58" s="56">
        <f>E58*0.11636932</f>
        <v>601.74575372000004</v>
      </c>
    </row>
    <row r="59" spans="1:7" x14ac:dyDescent="0.2">
      <c r="A59" s="237"/>
      <c r="B59" s="6" t="s">
        <v>116</v>
      </c>
      <c r="C59" s="12">
        <v>38965</v>
      </c>
      <c r="D59" s="13">
        <v>184278</v>
      </c>
      <c r="E59" s="13">
        <v>11267</v>
      </c>
      <c r="F59" s="25">
        <v>0.11484</v>
      </c>
      <c r="G59" s="56">
        <f>E59*0.11484</f>
        <v>1293.90228</v>
      </c>
    </row>
    <row r="60" spans="1:7" x14ac:dyDescent="0.2">
      <c r="A60" s="237"/>
      <c r="B60" s="6" t="s">
        <v>117</v>
      </c>
      <c r="C60" s="12">
        <v>38993</v>
      </c>
      <c r="D60" s="13">
        <v>199611</v>
      </c>
      <c r="E60" s="13">
        <v>15333</v>
      </c>
      <c r="F60" s="25">
        <v>0.12720000000000001</v>
      </c>
      <c r="G60" s="56">
        <f t="shared" ref="G60:G65" si="4">E60*F60</f>
        <v>1950.3576</v>
      </c>
    </row>
    <row r="61" spans="1:7" x14ac:dyDescent="0.2">
      <c r="A61" s="237"/>
      <c r="B61" s="6" t="s">
        <v>118</v>
      </c>
      <c r="C61" s="12">
        <v>39035</v>
      </c>
      <c r="D61" s="13">
        <v>223553</v>
      </c>
      <c r="E61" s="13">
        <v>23942</v>
      </c>
      <c r="F61" s="53">
        <v>0.1144</v>
      </c>
      <c r="G61" s="56">
        <f t="shared" si="4"/>
        <v>2738.9648000000002</v>
      </c>
    </row>
    <row r="62" spans="1:7" x14ac:dyDescent="0.2">
      <c r="A62" s="237"/>
      <c r="B62" s="6" t="s">
        <v>119</v>
      </c>
      <c r="C62" s="12">
        <v>39056</v>
      </c>
      <c r="D62" s="13">
        <v>234931</v>
      </c>
      <c r="E62" s="13">
        <v>11378</v>
      </c>
      <c r="F62" s="53">
        <v>8.9300000000000004E-2</v>
      </c>
      <c r="G62" s="56">
        <f t="shared" si="4"/>
        <v>1016.0554000000001</v>
      </c>
    </row>
    <row r="63" spans="1:7" x14ac:dyDescent="0.2">
      <c r="A63" s="237"/>
      <c r="B63" s="6" t="s">
        <v>120</v>
      </c>
      <c r="C63" s="12">
        <v>38725</v>
      </c>
      <c r="D63" s="13">
        <v>244644</v>
      </c>
      <c r="E63" s="13">
        <v>9713</v>
      </c>
      <c r="F63" s="53">
        <v>9.0713822001888572E-2</v>
      </c>
      <c r="G63" s="56">
        <f t="shared" si="4"/>
        <v>881.10335310434368</v>
      </c>
    </row>
    <row r="64" spans="1:7" x14ac:dyDescent="0.2">
      <c r="A64" s="237" t="s">
        <v>72</v>
      </c>
      <c r="B64" s="6" t="s">
        <v>106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56">
        <f t="shared" si="4"/>
        <v>106.96775251312455</v>
      </c>
    </row>
    <row r="65" spans="1:7" x14ac:dyDescent="0.2">
      <c r="A65" s="237"/>
      <c r="B65" s="6" t="s">
        <v>107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56">
        <f t="shared" si="4"/>
        <v>151.95798559870008</v>
      </c>
    </row>
    <row r="66" spans="1:7" x14ac:dyDescent="0.2">
      <c r="A66" s="237"/>
      <c r="B66" s="6" t="s">
        <v>109</v>
      </c>
      <c r="C66" s="12">
        <v>38811</v>
      </c>
      <c r="D66" s="13">
        <v>12068</v>
      </c>
      <c r="E66" s="13">
        <v>862</v>
      </c>
      <c r="F66" s="25">
        <v>9.6879999999999994E-2</v>
      </c>
      <c r="G66" s="56">
        <f>E66*0.09688</f>
        <v>83.510559999999998</v>
      </c>
    </row>
    <row r="67" spans="1:7" x14ac:dyDescent="0.2">
      <c r="A67" s="237"/>
      <c r="B67" s="6" t="s">
        <v>111</v>
      </c>
      <c r="C67" s="12">
        <v>38838</v>
      </c>
      <c r="D67" s="13">
        <v>13016</v>
      </c>
      <c r="E67" s="13">
        <v>948</v>
      </c>
      <c r="F67" s="25">
        <v>0.10269</v>
      </c>
      <c r="G67" s="56">
        <f>E67*0.10269</f>
        <v>97.350120000000004</v>
      </c>
    </row>
    <row r="68" spans="1:7" x14ac:dyDescent="0.2">
      <c r="A68" s="237"/>
      <c r="B68" s="6" t="s">
        <v>113</v>
      </c>
      <c r="C68" s="12">
        <v>38869</v>
      </c>
      <c r="D68" s="13">
        <v>13993</v>
      </c>
      <c r="E68" s="13">
        <v>977</v>
      </c>
      <c r="F68" s="25">
        <v>0.12096</v>
      </c>
      <c r="G68" s="56">
        <f>E68*0.12096</f>
        <v>118.17792</v>
      </c>
    </row>
    <row r="69" spans="1:7" x14ac:dyDescent="0.2">
      <c r="A69" s="237"/>
      <c r="B69" s="6" t="s">
        <v>114</v>
      </c>
      <c r="C69" s="12">
        <v>38896</v>
      </c>
      <c r="D69" s="13">
        <v>14987</v>
      </c>
      <c r="E69" s="13">
        <v>994</v>
      </c>
      <c r="F69" s="25">
        <v>0.11636932</v>
      </c>
      <c r="G69" s="56">
        <f>E69*0.11636932</f>
        <v>115.67110407999999</v>
      </c>
    </row>
    <row r="70" spans="1:7" x14ac:dyDescent="0.2">
      <c r="A70" s="237"/>
      <c r="B70" s="6" t="s">
        <v>115</v>
      </c>
      <c r="C70" s="12">
        <v>38925</v>
      </c>
      <c r="D70" s="13">
        <v>16161</v>
      </c>
      <c r="E70" s="13">
        <v>1174</v>
      </c>
      <c r="F70" s="25">
        <v>0.11636932</v>
      </c>
      <c r="G70" s="56">
        <f>E70*0.11636932</f>
        <v>136.61758168</v>
      </c>
    </row>
    <row r="71" spans="1:7" x14ac:dyDescent="0.2">
      <c r="A71" s="237"/>
      <c r="B71" s="6" t="s">
        <v>116</v>
      </c>
      <c r="C71" s="12">
        <v>38965</v>
      </c>
      <c r="D71" s="13">
        <v>17414</v>
      </c>
      <c r="E71" s="13">
        <v>1253</v>
      </c>
      <c r="F71" s="25">
        <v>0.11484</v>
      </c>
      <c r="G71" s="56">
        <f>E71*0.11484</f>
        <v>143.89452</v>
      </c>
    </row>
    <row r="72" spans="1:7" x14ac:dyDescent="0.2">
      <c r="A72" s="237"/>
      <c r="B72" s="6" t="s">
        <v>117</v>
      </c>
      <c r="C72" s="12">
        <v>38993</v>
      </c>
      <c r="D72" s="13">
        <v>18641</v>
      </c>
      <c r="E72" s="13">
        <v>1227</v>
      </c>
      <c r="F72" s="25">
        <v>0.12720000000000001</v>
      </c>
      <c r="G72" s="56">
        <f t="shared" ref="G72:G77" si="5">E72*F72</f>
        <v>156.0744</v>
      </c>
    </row>
    <row r="73" spans="1:7" x14ac:dyDescent="0.2">
      <c r="A73" s="237"/>
      <c r="B73" s="6" t="s">
        <v>118</v>
      </c>
      <c r="C73" s="12">
        <v>39035</v>
      </c>
      <c r="D73" s="13">
        <v>20104</v>
      </c>
      <c r="E73" s="13">
        <v>1463</v>
      </c>
      <c r="F73" s="53">
        <v>0.1144</v>
      </c>
      <c r="G73" s="56">
        <f t="shared" si="5"/>
        <v>167.3672</v>
      </c>
    </row>
    <row r="74" spans="1:7" x14ac:dyDescent="0.2">
      <c r="A74" s="237"/>
      <c r="B74" s="6" t="s">
        <v>119</v>
      </c>
      <c r="C74" s="12">
        <v>39056</v>
      </c>
      <c r="D74" s="13">
        <v>20780</v>
      </c>
      <c r="E74" s="13">
        <v>676</v>
      </c>
      <c r="F74" s="53">
        <v>8.9300000000000004E-2</v>
      </c>
      <c r="G74" s="56">
        <f t="shared" si="5"/>
        <v>60.366800000000005</v>
      </c>
    </row>
    <row r="75" spans="1:7" x14ac:dyDescent="0.2">
      <c r="A75" s="237"/>
      <c r="B75" s="6" t="s">
        <v>120</v>
      </c>
      <c r="C75" s="12">
        <v>38725</v>
      </c>
      <c r="D75" s="13">
        <v>21902</v>
      </c>
      <c r="E75" s="13">
        <v>1122</v>
      </c>
      <c r="F75" s="53">
        <v>9.0713822001888572E-2</v>
      </c>
      <c r="G75" s="56">
        <f t="shared" si="5"/>
        <v>101.78090828611897</v>
      </c>
    </row>
    <row r="76" spans="1:7" x14ac:dyDescent="0.2">
      <c r="A76" s="237" t="s">
        <v>73</v>
      </c>
      <c r="B76" s="6" t="s">
        <v>106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56">
        <f t="shared" si="5"/>
        <v>154.48949174436515</v>
      </c>
    </row>
    <row r="77" spans="1:7" x14ac:dyDescent="0.2">
      <c r="A77" s="237"/>
      <c r="B77" s="6" t="s">
        <v>107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56">
        <f t="shared" si="5"/>
        <v>311.43673444403635</v>
      </c>
    </row>
    <row r="78" spans="1:7" x14ac:dyDescent="0.2">
      <c r="A78" s="237"/>
      <c r="B78" s="6" t="s">
        <v>109</v>
      </c>
      <c r="C78" s="12">
        <v>38811</v>
      </c>
      <c r="D78" s="13">
        <v>21103</v>
      </c>
      <c r="E78" s="13">
        <v>2263</v>
      </c>
      <c r="F78" s="25">
        <v>9.6879999999999994E-2</v>
      </c>
      <c r="G78" s="56">
        <f>E78*0.09688</f>
        <v>219.23943999999997</v>
      </c>
    </row>
    <row r="79" spans="1:7" x14ac:dyDescent="0.2">
      <c r="A79" s="237"/>
      <c r="B79" s="6" t="s">
        <v>111</v>
      </c>
      <c r="C79" s="12">
        <v>38838</v>
      </c>
      <c r="D79" s="13">
        <v>23592</v>
      </c>
      <c r="E79" s="13">
        <v>2489</v>
      </c>
      <c r="F79" s="25">
        <v>0.10269</v>
      </c>
      <c r="G79" s="56">
        <f>E79*0.10269</f>
        <v>255.59541000000002</v>
      </c>
    </row>
    <row r="80" spans="1:7" x14ac:dyDescent="0.2">
      <c r="A80" s="237"/>
      <c r="B80" s="6" t="s">
        <v>113</v>
      </c>
      <c r="C80" s="12">
        <v>38869</v>
      </c>
      <c r="D80" s="13">
        <v>25437</v>
      </c>
      <c r="E80" s="13">
        <v>1845</v>
      </c>
      <c r="F80" s="25">
        <v>0.12096</v>
      </c>
      <c r="G80" s="56">
        <f>E80*0.12096</f>
        <v>223.1712</v>
      </c>
    </row>
    <row r="81" spans="1:7" x14ac:dyDescent="0.2">
      <c r="A81" s="237"/>
      <c r="B81" s="6" t="s">
        <v>114</v>
      </c>
      <c r="C81" s="12">
        <v>38896</v>
      </c>
      <c r="D81" s="13">
        <v>26075</v>
      </c>
      <c r="E81" s="13">
        <v>638</v>
      </c>
      <c r="F81" s="25">
        <v>0.11636932</v>
      </c>
      <c r="G81" s="56">
        <f>E81*0.11636932</f>
        <v>74.243626160000005</v>
      </c>
    </row>
    <row r="82" spans="1:7" x14ac:dyDescent="0.2">
      <c r="A82" s="237"/>
      <c r="B82" s="6" t="s">
        <v>115</v>
      </c>
      <c r="C82" s="12">
        <v>38925</v>
      </c>
      <c r="D82" s="13">
        <v>27443</v>
      </c>
      <c r="E82" s="13">
        <v>1368</v>
      </c>
      <c r="F82" s="25">
        <v>0.11636932</v>
      </c>
      <c r="G82" s="56">
        <f>E82*0.11636932</f>
        <v>159.19322976000001</v>
      </c>
    </row>
    <row r="83" spans="1:7" x14ac:dyDescent="0.2">
      <c r="A83" s="237"/>
      <c r="B83" s="6" t="s">
        <v>116</v>
      </c>
      <c r="C83" s="12">
        <v>38965</v>
      </c>
      <c r="D83" s="13">
        <v>29313</v>
      </c>
      <c r="E83" s="13">
        <v>1870</v>
      </c>
      <c r="F83" s="25">
        <v>0.11484</v>
      </c>
      <c r="G83" s="56">
        <f>E83*0.11484</f>
        <v>214.7508</v>
      </c>
    </row>
    <row r="84" spans="1:7" x14ac:dyDescent="0.2">
      <c r="A84" s="237"/>
      <c r="B84" s="6" t="s">
        <v>117</v>
      </c>
      <c r="C84" s="12">
        <v>38993</v>
      </c>
      <c r="D84" s="13">
        <v>31784</v>
      </c>
      <c r="E84" s="13">
        <v>2471</v>
      </c>
      <c r="F84" s="25">
        <v>0.12720000000000001</v>
      </c>
      <c r="G84" s="56">
        <f t="shared" ref="G84:G89" si="6">E84*F84</f>
        <v>314.31120000000004</v>
      </c>
    </row>
    <row r="85" spans="1:7" x14ac:dyDescent="0.2">
      <c r="A85" s="237"/>
      <c r="B85" s="6" t="s">
        <v>118</v>
      </c>
      <c r="C85" s="12">
        <v>39035</v>
      </c>
      <c r="D85" s="13">
        <v>35317</v>
      </c>
      <c r="E85" s="13">
        <v>3533</v>
      </c>
      <c r="F85" s="53">
        <v>0.1144</v>
      </c>
      <c r="G85" s="56">
        <f t="shared" si="6"/>
        <v>404.17520000000002</v>
      </c>
    </row>
    <row r="86" spans="1:7" x14ac:dyDescent="0.2">
      <c r="A86" s="237"/>
      <c r="B86" s="6" t="s">
        <v>119</v>
      </c>
      <c r="C86" s="12">
        <v>39056</v>
      </c>
      <c r="D86" s="13">
        <v>37042</v>
      </c>
      <c r="E86" s="13">
        <v>1725</v>
      </c>
      <c r="F86" s="53">
        <v>8.9300000000000004E-2</v>
      </c>
      <c r="G86" s="56">
        <f t="shared" si="6"/>
        <v>154.04250000000002</v>
      </c>
    </row>
    <row r="87" spans="1:7" x14ac:dyDescent="0.2">
      <c r="A87" s="237"/>
      <c r="B87" s="6" t="s">
        <v>120</v>
      </c>
      <c r="C87" s="12">
        <v>38725</v>
      </c>
      <c r="D87" s="13">
        <v>38380</v>
      </c>
      <c r="E87" s="13">
        <v>1338</v>
      </c>
      <c r="F87" s="53">
        <v>9.0713822001888572E-2</v>
      </c>
      <c r="G87" s="56">
        <f t="shared" si="6"/>
        <v>121.37509383852691</v>
      </c>
    </row>
    <row r="88" spans="1:7" x14ac:dyDescent="0.2">
      <c r="A88" s="237" t="s">
        <v>74</v>
      </c>
      <c r="B88" s="6" t="s">
        <v>106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56">
        <f t="shared" si="6"/>
        <v>171.06072553533281</v>
      </c>
    </row>
    <row r="89" spans="1:7" x14ac:dyDescent="0.2">
      <c r="A89" s="237"/>
      <c r="B89" s="6" t="s">
        <v>107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56">
        <f t="shared" si="6"/>
        <v>355.01859325787672</v>
      </c>
    </row>
    <row r="90" spans="1:7" x14ac:dyDescent="0.2">
      <c r="A90" s="237"/>
      <c r="B90" s="6" t="s">
        <v>109</v>
      </c>
      <c r="C90" s="12">
        <v>38811</v>
      </c>
      <c r="D90" s="13">
        <v>21034</v>
      </c>
      <c r="E90" s="13">
        <v>2598</v>
      </c>
      <c r="F90" s="25">
        <v>9.6879999999999994E-2</v>
      </c>
      <c r="G90" s="56">
        <f>E90*0.09688</f>
        <v>251.69423999999998</v>
      </c>
    </row>
    <row r="91" spans="1:7" x14ac:dyDescent="0.2">
      <c r="A91" s="237"/>
      <c r="B91" s="6" t="s">
        <v>111</v>
      </c>
      <c r="C91" s="12">
        <v>38838</v>
      </c>
      <c r="D91" s="13">
        <v>23689</v>
      </c>
      <c r="E91" s="13">
        <v>2655</v>
      </c>
      <c r="F91" s="25">
        <v>0.10269</v>
      </c>
      <c r="G91" s="56">
        <f>E91*0.10269</f>
        <v>272.64195000000001</v>
      </c>
    </row>
    <row r="92" spans="1:7" x14ac:dyDescent="0.2">
      <c r="A92" s="237"/>
      <c r="B92" s="6" t="s">
        <v>113</v>
      </c>
      <c r="C92" s="12">
        <v>38869</v>
      </c>
      <c r="D92" s="13">
        <v>25567</v>
      </c>
      <c r="E92" s="13">
        <v>1878</v>
      </c>
      <c r="F92" s="25">
        <v>0.12096</v>
      </c>
      <c r="G92" s="56">
        <f>E92*0.12096</f>
        <v>227.16288</v>
      </c>
    </row>
    <row r="93" spans="1:7" x14ac:dyDescent="0.2">
      <c r="A93" s="237"/>
      <c r="B93" s="6" t="s">
        <v>114</v>
      </c>
      <c r="C93" s="12">
        <v>38896</v>
      </c>
      <c r="D93" s="13">
        <v>26114</v>
      </c>
      <c r="E93" s="13">
        <v>547</v>
      </c>
      <c r="F93" s="25">
        <v>0.11636932</v>
      </c>
      <c r="G93" s="56">
        <f>E93*0.11636932</f>
        <v>63.654018039999997</v>
      </c>
    </row>
    <row r="94" spans="1:7" x14ac:dyDescent="0.2">
      <c r="A94" s="237"/>
      <c r="B94" s="6" t="s">
        <v>115</v>
      </c>
      <c r="C94" s="12">
        <v>38925</v>
      </c>
      <c r="D94" s="13">
        <v>27068</v>
      </c>
      <c r="E94" s="13">
        <v>954</v>
      </c>
      <c r="F94" s="25">
        <v>0.11636932</v>
      </c>
      <c r="G94" s="56">
        <f>E94*0.11636932</f>
        <v>111.01633128</v>
      </c>
    </row>
    <row r="95" spans="1:7" x14ac:dyDescent="0.2">
      <c r="A95" s="237"/>
      <c r="B95" s="6" t="s">
        <v>116</v>
      </c>
      <c r="C95" s="12">
        <v>38965</v>
      </c>
      <c r="D95" s="13">
        <v>28320</v>
      </c>
      <c r="E95" s="13">
        <v>1252</v>
      </c>
      <c r="F95" s="25">
        <v>0.11484</v>
      </c>
      <c r="G95" s="56">
        <f>E95*0.11484</f>
        <v>143.77967999999998</v>
      </c>
    </row>
    <row r="96" spans="1:7" x14ac:dyDescent="0.2">
      <c r="A96" s="237"/>
      <c r="B96" s="6" t="s">
        <v>117</v>
      </c>
      <c r="C96" s="12">
        <v>38993</v>
      </c>
      <c r="D96" s="13">
        <v>30054</v>
      </c>
      <c r="E96" s="13">
        <v>1734</v>
      </c>
      <c r="F96" s="25">
        <v>0.12720000000000001</v>
      </c>
      <c r="G96" s="56">
        <f t="shared" ref="G96:G101" si="7">E96*F96</f>
        <v>220.56480000000002</v>
      </c>
    </row>
    <row r="97" spans="1:7" x14ac:dyDescent="0.2">
      <c r="A97" s="237"/>
      <c r="B97" s="6" t="s">
        <v>118</v>
      </c>
      <c r="C97" s="12">
        <v>39035</v>
      </c>
      <c r="D97" s="13">
        <v>32847</v>
      </c>
      <c r="E97" s="13">
        <v>2793</v>
      </c>
      <c r="F97" s="53">
        <v>0.1144</v>
      </c>
      <c r="G97" s="56">
        <f t="shared" si="7"/>
        <v>319.51920000000001</v>
      </c>
    </row>
    <row r="98" spans="1:7" x14ac:dyDescent="0.2">
      <c r="A98" s="237"/>
      <c r="B98" s="6" t="s">
        <v>119</v>
      </c>
      <c r="C98" s="12">
        <v>39056</v>
      </c>
      <c r="D98" s="13">
        <v>34080</v>
      </c>
      <c r="E98" s="13">
        <v>1233</v>
      </c>
      <c r="F98" s="53">
        <v>8.9300000000000004E-2</v>
      </c>
      <c r="G98" s="56">
        <f t="shared" si="7"/>
        <v>110.10690000000001</v>
      </c>
    </row>
    <row r="99" spans="1:7" x14ac:dyDescent="0.2">
      <c r="A99" s="237"/>
      <c r="B99" s="6" t="s">
        <v>120</v>
      </c>
      <c r="C99" s="12">
        <v>38725</v>
      </c>
      <c r="D99" s="13">
        <v>35209</v>
      </c>
      <c r="E99" s="13">
        <v>1129</v>
      </c>
      <c r="F99" s="53">
        <v>9.0713822001888572E-2</v>
      </c>
      <c r="G99" s="56">
        <f t="shared" si="7"/>
        <v>102.4159050401322</v>
      </c>
    </row>
    <row r="100" spans="1:7" x14ac:dyDescent="0.2">
      <c r="A100" s="237" t="s">
        <v>75</v>
      </c>
      <c r="B100" s="6" t="s">
        <v>106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56">
        <f t="shared" si="7"/>
        <v>205.34301343093256</v>
      </c>
    </row>
    <row r="101" spans="1:7" x14ac:dyDescent="0.2">
      <c r="A101" s="237"/>
      <c r="B101" s="6" t="s">
        <v>107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56">
        <f t="shared" si="7"/>
        <v>453.75271588038237</v>
      </c>
    </row>
    <row r="102" spans="1:7" x14ac:dyDescent="0.2">
      <c r="A102" s="237"/>
      <c r="B102" s="6" t="s">
        <v>109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56">
        <f>E102*0.09688</f>
        <v>313.60055999999997</v>
      </c>
    </row>
    <row r="103" spans="1:7" x14ac:dyDescent="0.2">
      <c r="A103" s="237"/>
      <c r="B103" s="6" t="s">
        <v>111</v>
      </c>
      <c r="C103" s="12">
        <v>38838</v>
      </c>
      <c r="D103" s="13">
        <v>34593</v>
      </c>
      <c r="E103" s="13">
        <v>3530</v>
      </c>
      <c r="F103" s="25">
        <v>0.10269</v>
      </c>
      <c r="G103" s="56">
        <f>E103*0.10269</f>
        <v>362.4957</v>
      </c>
    </row>
    <row r="104" spans="1:7" x14ac:dyDescent="0.2">
      <c r="A104" s="237"/>
      <c r="B104" s="6" t="s">
        <v>113</v>
      </c>
      <c r="C104" s="12">
        <v>38869</v>
      </c>
      <c r="D104" s="13">
        <v>37128</v>
      </c>
      <c r="E104" s="13">
        <v>2535</v>
      </c>
      <c r="F104" s="25">
        <v>0.12096</v>
      </c>
      <c r="G104" s="56">
        <f>E104*0.12096</f>
        <v>306.6336</v>
      </c>
    </row>
    <row r="105" spans="1:7" x14ac:dyDescent="0.2">
      <c r="A105" s="237"/>
      <c r="B105" s="6" t="s">
        <v>114</v>
      </c>
      <c r="C105" s="12">
        <v>38896</v>
      </c>
      <c r="D105" s="13">
        <v>37996</v>
      </c>
      <c r="E105" s="13">
        <v>868</v>
      </c>
      <c r="F105" s="25">
        <v>0.11636932</v>
      </c>
      <c r="G105" s="56">
        <f>E105*0.11636932</f>
        <v>101.00856976</v>
      </c>
    </row>
    <row r="106" spans="1:7" x14ac:dyDescent="0.2">
      <c r="A106" s="237"/>
      <c r="B106" s="6" t="s">
        <v>115</v>
      </c>
      <c r="C106" s="12">
        <v>38925</v>
      </c>
      <c r="D106" s="13">
        <v>39535</v>
      </c>
      <c r="E106" s="13">
        <v>1539</v>
      </c>
      <c r="F106" s="25">
        <v>0.11636932</v>
      </c>
      <c r="G106" s="56">
        <f>E106*0.11636932</f>
        <v>179.09238348</v>
      </c>
    </row>
    <row r="107" spans="1:7" x14ac:dyDescent="0.2">
      <c r="A107" s="237"/>
      <c r="B107" s="6" t="s">
        <v>116</v>
      </c>
      <c r="C107" s="12">
        <v>38965</v>
      </c>
      <c r="D107" s="13">
        <v>41954</v>
      </c>
      <c r="E107" s="13">
        <v>2419</v>
      </c>
      <c r="F107" s="25">
        <v>0.11484</v>
      </c>
      <c r="G107" s="56">
        <f>E107*0.11484</f>
        <v>277.79795999999999</v>
      </c>
    </row>
    <row r="108" spans="1:7" x14ac:dyDescent="0.2">
      <c r="A108" s="237"/>
      <c r="B108" s="6" t="s">
        <v>117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56">
        <f t="shared" ref="G108:G113" si="8">E108*F108</f>
        <v>350.94480000000004</v>
      </c>
    </row>
    <row r="109" spans="1:7" x14ac:dyDescent="0.2">
      <c r="A109" s="237"/>
      <c r="B109" s="6" t="s">
        <v>118</v>
      </c>
      <c r="C109" s="12">
        <v>39035</v>
      </c>
      <c r="D109" s="13">
        <v>48845</v>
      </c>
      <c r="E109" s="13">
        <v>4132</v>
      </c>
      <c r="F109" s="53">
        <v>0.1144</v>
      </c>
      <c r="G109" s="56">
        <f t="shared" si="8"/>
        <v>472.70080000000002</v>
      </c>
    </row>
    <row r="110" spans="1:7" x14ac:dyDescent="0.2">
      <c r="A110" s="237"/>
      <c r="B110" s="6" t="s">
        <v>119</v>
      </c>
      <c r="C110" s="12">
        <v>39056</v>
      </c>
      <c r="D110" s="13">
        <v>50765</v>
      </c>
      <c r="E110" s="13">
        <v>1920</v>
      </c>
      <c r="F110" s="53">
        <v>8.9300000000000004E-2</v>
      </c>
      <c r="G110" s="56">
        <f t="shared" si="8"/>
        <v>171.45600000000002</v>
      </c>
    </row>
    <row r="111" spans="1:7" x14ac:dyDescent="0.2">
      <c r="A111" s="237"/>
      <c r="B111" s="6" t="s">
        <v>120</v>
      </c>
      <c r="C111" s="12">
        <v>38725</v>
      </c>
      <c r="D111" s="13">
        <v>52490</v>
      </c>
      <c r="E111" s="13">
        <v>1725</v>
      </c>
      <c r="F111" s="53">
        <v>9.0713822001888572E-2</v>
      </c>
      <c r="G111" s="56">
        <f t="shared" si="8"/>
        <v>156.48134295325778</v>
      </c>
    </row>
    <row r="112" spans="1:7" x14ac:dyDescent="0.2">
      <c r="A112" s="237" t="s">
        <v>76</v>
      </c>
      <c r="B112" s="6" t="s">
        <v>106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56">
        <f t="shared" si="8"/>
        <v>213.67246956924964</v>
      </c>
    </row>
    <row r="113" spans="1:7" x14ac:dyDescent="0.2">
      <c r="A113" s="237"/>
      <c r="B113" s="6" t="s">
        <v>107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56">
        <f t="shared" si="8"/>
        <v>431.96178647346215</v>
      </c>
    </row>
    <row r="114" spans="1:7" x14ac:dyDescent="0.2">
      <c r="A114" s="237"/>
      <c r="B114" s="6" t="s">
        <v>109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56">
        <f>E114*0.09688</f>
        <v>287.83047999999997</v>
      </c>
    </row>
    <row r="115" spans="1:7" x14ac:dyDescent="0.2">
      <c r="A115" s="237"/>
      <c r="B115" s="6" t="s">
        <v>111</v>
      </c>
      <c r="C115" s="12">
        <v>38838</v>
      </c>
      <c r="D115" s="13">
        <v>34514</v>
      </c>
      <c r="E115" s="13">
        <v>3516</v>
      </c>
      <c r="F115" s="25">
        <v>0.10269</v>
      </c>
      <c r="G115" s="56">
        <f>E115*0.10269</f>
        <v>361.05804000000001</v>
      </c>
    </row>
    <row r="116" spans="1:7" x14ac:dyDescent="0.2">
      <c r="A116" s="237"/>
      <c r="B116" s="6" t="s">
        <v>113</v>
      </c>
      <c r="C116" s="12">
        <v>38869</v>
      </c>
      <c r="D116" s="13">
        <v>37305</v>
      </c>
      <c r="E116" s="13">
        <v>2791</v>
      </c>
      <c r="F116" s="25">
        <v>0.12096</v>
      </c>
      <c r="G116" s="56">
        <f>E116*0.12096</f>
        <v>337.59935999999999</v>
      </c>
    </row>
    <row r="117" spans="1:7" x14ac:dyDescent="0.2">
      <c r="A117" s="237"/>
      <c r="B117" s="6" t="s">
        <v>114</v>
      </c>
      <c r="C117" s="12">
        <v>38896</v>
      </c>
      <c r="D117" s="13">
        <v>38173</v>
      </c>
      <c r="E117" s="13">
        <v>868</v>
      </c>
      <c r="F117" s="25">
        <v>0.11636932</v>
      </c>
      <c r="G117" s="56">
        <f>E117*0.11636932</f>
        <v>101.00856976</v>
      </c>
    </row>
    <row r="118" spans="1:7" x14ac:dyDescent="0.2">
      <c r="A118" s="237"/>
      <c r="B118" s="6" t="s">
        <v>115</v>
      </c>
      <c r="C118" s="12">
        <v>38925</v>
      </c>
      <c r="D118" s="13">
        <v>40181</v>
      </c>
      <c r="E118" s="13">
        <v>2008</v>
      </c>
      <c r="F118" s="25">
        <v>0.11636932</v>
      </c>
      <c r="G118" s="56">
        <f>E118*0.11636932</f>
        <v>233.66959456000001</v>
      </c>
    </row>
    <row r="119" spans="1:7" x14ac:dyDescent="0.2">
      <c r="A119" s="237"/>
      <c r="B119" s="6" t="s">
        <v>116</v>
      </c>
      <c r="C119" s="12">
        <v>38965</v>
      </c>
      <c r="D119" s="13">
        <v>42387</v>
      </c>
      <c r="E119" s="13">
        <v>2206</v>
      </c>
      <c r="F119" s="25">
        <v>0.11484</v>
      </c>
      <c r="G119" s="56">
        <f>E119*0.11484</f>
        <v>253.33704</v>
      </c>
    </row>
    <row r="120" spans="1:7" x14ac:dyDescent="0.2">
      <c r="A120" s="237"/>
      <c r="B120" s="6" t="s">
        <v>117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56">
        <f t="shared" ref="G120:G125" si="9">E120*F120</f>
        <v>139.66560000000001</v>
      </c>
    </row>
    <row r="121" spans="1:7" x14ac:dyDescent="0.2">
      <c r="A121" s="237"/>
      <c r="B121" s="6" t="s">
        <v>118</v>
      </c>
      <c r="C121" s="12">
        <v>39035</v>
      </c>
      <c r="D121" s="13">
        <v>44489</v>
      </c>
      <c r="E121" s="13">
        <v>1004</v>
      </c>
      <c r="F121" s="53">
        <v>0.1144</v>
      </c>
      <c r="G121" s="56">
        <f t="shared" si="9"/>
        <v>114.85760000000001</v>
      </c>
    </row>
    <row r="122" spans="1:7" x14ac:dyDescent="0.2">
      <c r="A122" s="237"/>
      <c r="B122" s="6" t="s">
        <v>119</v>
      </c>
      <c r="C122" s="12">
        <v>39056</v>
      </c>
      <c r="D122" s="13">
        <v>44895</v>
      </c>
      <c r="E122" s="13">
        <v>406</v>
      </c>
      <c r="F122" s="53">
        <v>8.9300000000000004E-2</v>
      </c>
      <c r="G122" s="56">
        <f t="shared" si="9"/>
        <v>36.255800000000001</v>
      </c>
    </row>
    <row r="123" spans="1:7" x14ac:dyDescent="0.2">
      <c r="A123" s="237"/>
      <c r="B123" s="6" t="s">
        <v>120</v>
      </c>
      <c r="C123" s="12">
        <v>38725</v>
      </c>
      <c r="D123" s="13">
        <v>45532</v>
      </c>
      <c r="E123" s="13">
        <v>632</v>
      </c>
      <c r="F123" s="53">
        <v>9.0713822001888572E-2</v>
      </c>
      <c r="G123" s="56">
        <f t="shared" si="9"/>
        <v>57.331135505193579</v>
      </c>
    </row>
    <row r="124" spans="1:7" x14ac:dyDescent="0.2">
      <c r="A124" s="237" t="s">
        <v>77</v>
      </c>
      <c r="B124" s="6" t="s">
        <v>106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56">
        <f t="shared" si="9"/>
        <v>444.26688687213289</v>
      </c>
    </row>
    <row r="125" spans="1:7" x14ac:dyDescent="0.2">
      <c r="A125" s="237"/>
      <c r="B125" s="6" t="s">
        <v>107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56">
        <f t="shared" si="9"/>
        <v>912.90495409168295</v>
      </c>
    </row>
    <row r="126" spans="1:7" x14ac:dyDescent="0.2">
      <c r="A126" s="237"/>
      <c r="B126" s="6" t="s">
        <v>109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56">
        <f>E126*0.09688</f>
        <v>618.77256</v>
      </c>
    </row>
    <row r="127" spans="1:7" x14ac:dyDescent="0.2">
      <c r="A127" s="237"/>
      <c r="B127" s="6" t="s">
        <v>111</v>
      </c>
      <c r="C127" s="12">
        <v>38838</v>
      </c>
      <c r="D127" s="13">
        <v>68913</v>
      </c>
      <c r="E127" s="13">
        <v>6794</v>
      </c>
      <c r="F127" s="25">
        <v>0.10269</v>
      </c>
      <c r="G127" s="56">
        <f>E127*0.10269</f>
        <v>697.67586000000006</v>
      </c>
    </row>
    <row r="128" spans="1:7" x14ac:dyDescent="0.2">
      <c r="A128" s="237"/>
      <c r="B128" s="6" t="s">
        <v>113</v>
      </c>
      <c r="C128" s="12">
        <v>38869</v>
      </c>
      <c r="D128" s="13">
        <v>73696</v>
      </c>
      <c r="E128" s="13">
        <v>4783</v>
      </c>
      <c r="F128" s="25">
        <v>0.12096</v>
      </c>
      <c r="G128" s="56">
        <f>E128*0.12096</f>
        <v>578.55168000000003</v>
      </c>
    </row>
    <row r="129" spans="1:7" x14ac:dyDescent="0.2">
      <c r="A129" s="237"/>
      <c r="B129" s="6" t="s">
        <v>114</v>
      </c>
      <c r="C129" s="12">
        <v>38896</v>
      </c>
      <c r="D129" s="13">
        <v>75679</v>
      </c>
      <c r="E129" s="13">
        <v>1983</v>
      </c>
      <c r="F129" s="25">
        <v>0.11636932</v>
      </c>
      <c r="G129" s="56">
        <f>E129*0.11636932</f>
        <v>230.76036156000001</v>
      </c>
    </row>
    <row r="130" spans="1:7" x14ac:dyDescent="0.2">
      <c r="A130" s="237"/>
      <c r="B130" s="6" t="s">
        <v>115</v>
      </c>
      <c r="C130" s="12">
        <v>38925</v>
      </c>
      <c r="D130" s="13">
        <v>79130</v>
      </c>
      <c r="E130" s="13">
        <v>3451</v>
      </c>
      <c r="F130" s="25">
        <v>0.11636932</v>
      </c>
      <c r="G130" s="56">
        <f>E130*0.11636932</f>
        <v>401.59052331999999</v>
      </c>
    </row>
    <row r="131" spans="1:7" x14ac:dyDescent="0.2">
      <c r="A131" s="237"/>
      <c r="B131" s="6" t="s">
        <v>116</v>
      </c>
      <c r="C131" s="12">
        <v>38965</v>
      </c>
      <c r="D131" s="13">
        <v>84495</v>
      </c>
      <c r="E131" s="13">
        <v>5365</v>
      </c>
      <c r="F131" s="25">
        <v>0.11484</v>
      </c>
      <c r="G131" s="56">
        <f>E131*0.11484</f>
        <v>616.11659999999995</v>
      </c>
    </row>
    <row r="132" spans="1:7" x14ac:dyDescent="0.2">
      <c r="A132" s="237"/>
      <c r="B132" s="6" t="s">
        <v>117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56">
        <f>E132*F132</f>
        <v>432.09840000000003</v>
      </c>
    </row>
    <row r="133" spans="1:7" x14ac:dyDescent="0.2">
      <c r="A133" s="237"/>
      <c r="B133" s="6" t="s">
        <v>118</v>
      </c>
      <c r="C133" s="12">
        <v>39035</v>
      </c>
      <c r="D133" s="13">
        <v>92145</v>
      </c>
      <c r="E133" s="13">
        <v>4253</v>
      </c>
      <c r="F133" s="53">
        <v>0.1144</v>
      </c>
      <c r="G133" s="56">
        <f>E133*F133</f>
        <v>486.54320000000001</v>
      </c>
    </row>
    <row r="134" spans="1:7" x14ac:dyDescent="0.2">
      <c r="A134" s="237"/>
      <c r="B134" s="6" t="s">
        <v>119</v>
      </c>
      <c r="C134" s="12">
        <v>39056</v>
      </c>
      <c r="D134" s="13">
        <v>94587</v>
      </c>
      <c r="E134" s="13">
        <v>2442</v>
      </c>
      <c r="F134" s="53">
        <v>8.9300000000000004E-2</v>
      </c>
      <c r="G134" s="56">
        <f>E134*F134</f>
        <v>218.07060000000001</v>
      </c>
    </row>
    <row r="135" spans="1:7" x14ac:dyDescent="0.2">
      <c r="A135" s="237"/>
      <c r="B135" s="6" t="s">
        <v>120</v>
      </c>
      <c r="C135" s="12">
        <v>38725</v>
      </c>
      <c r="D135" s="13">
        <v>98476</v>
      </c>
      <c r="E135" s="13">
        <v>3889</v>
      </c>
      <c r="F135" s="53">
        <v>9.0713822001888572E-2</v>
      </c>
      <c r="G135" s="56">
        <f>E135*F135</f>
        <v>352.78605376534466</v>
      </c>
    </row>
    <row r="136" spans="1:7" x14ac:dyDescent="0.2">
      <c r="G136" s="57"/>
    </row>
    <row r="137" spans="1:7" x14ac:dyDescent="0.2">
      <c r="A137" s="8" t="s">
        <v>18</v>
      </c>
      <c r="G137" s="57"/>
    </row>
    <row r="138" spans="1:7" x14ac:dyDescent="0.2">
      <c r="A138" s="8" t="s">
        <v>121</v>
      </c>
      <c r="G138" s="57"/>
    </row>
    <row r="139" spans="1:7" x14ac:dyDescent="0.2">
      <c r="A139" s="8"/>
      <c r="G139" s="57"/>
    </row>
    <row r="140" spans="1:7" x14ac:dyDescent="0.2">
      <c r="G140" s="57"/>
    </row>
    <row r="141" spans="1:7" x14ac:dyDescent="0.2">
      <c r="G141" s="57"/>
    </row>
    <row r="142" spans="1:7" x14ac:dyDescent="0.2">
      <c r="G142" s="57"/>
    </row>
    <row r="143" spans="1:7" x14ac:dyDescent="0.2">
      <c r="G143" s="57"/>
    </row>
    <row r="144" spans="1:7" x14ac:dyDescent="0.2">
      <c r="G144" s="57"/>
    </row>
    <row r="145" spans="7:7" x14ac:dyDescent="0.2">
      <c r="G145" s="57"/>
    </row>
    <row r="146" spans="7:7" x14ac:dyDescent="0.2">
      <c r="G146" s="57"/>
    </row>
    <row r="147" spans="7:7" x14ac:dyDescent="0.2">
      <c r="G147" s="57"/>
    </row>
    <row r="148" spans="7:7" x14ac:dyDescent="0.2">
      <c r="G148" s="57"/>
    </row>
    <row r="149" spans="7:7" x14ac:dyDescent="0.2">
      <c r="G149" s="57"/>
    </row>
    <row r="150" spans="7:7" x14ac:dyDescent="0.2">
      <c r="G150" s="57"/>
    </row>
    <row r="151" spans="7:7" x14ac:dyDescent="0.2">
      <c r="G151" s="57"/>
    </row>
    <row r="152" spans="7:7" x14ac:dyDescent="0.2">
      <c r="G152" s="57"/>
    </row>
    <row r="153" spans="7:7" x14ac:dyDescent="0.2">
      <c r="G153" s="57"/>
    </row>
    <row r="154" spans="7:7" x14ac:dyDescent="0.2">
      <c r="G154" s="57"/>
    </row>
    <row r="155" spans="7:7" x14ac:dyDescent="0.2">
      <c r="G155" s="57"/>
    </row>
    <row r="156" spans="7:7" x14ac:dyDescent="0.2">
      <c r="G156" s="57"/>
    </row>
    <row r="157" spans="7:7" x14ac:dyDescent="0.2">
      <c r="G157" s="57"/>
    </row>
    <row r="158" spans="7:7" x14ac:dyDescent="0.2">
      <c r="G158" s="57"/>
    </row>
    <row r="159" spans="7:7" x14ac:dyDescent="0.2">
      <c r="G159" s="57"/>
    </row>
    <row r="160" spans="7:7" x14ac:dyDescent="0.2">
      <c r="G160" s="57"/>
    </row>
    <row r="161" spans="7:7" x14ac:dyDescent="0.2">
      <c r="G161" s="57"/>
    </row>
    <row r="162" spans="7:7" x14ac:dyDescent="0.2">
      <c r="G162" s="57"/>
    </row>
    <row r="163" spans="7:7" x14ac:dyDescent="0.2">
      <c r="G163" s="57"/>
    </row>
    <row r="164" spans="7:7" x14ac:dyDescent="0.2">
      <c r="G164" s="57"/>
    </row>
    <row r="165" spans="7:7" x14ac:dyDescent="0.2">
      <c r="G165" s="57"/>
    </row>
    <row r="166" spans="7:7" x14ac:dyDescent="0.2">
      <c r="G166" s="57"/>
    </row>
    <row r="167" spans="7:7" x14ac:dyDescent="0.2">
      <c r="G167" s="57"/>
    </row>
    <row r="168" spans="7:7" x14ac:dyDescent="0.2">
      <c r="G168" s="57"/>
    </row>
    <row r="169" spans="7:7" x14ac:dyDescent="0.2">
      <c r="G169" s="57"/>
    </row>
    <row r="170" spans="7:7" x14ac:dyDescent="0.2">
      <c r="G170" s="57"/>
    </row>
    <row r="171" spans="7:7" x14ac:dyDescent="0.2">
      <c r="G171" s="57"/>
    </row>
    <row r="172" spans="7:7" x14ac:dyDescent="0.2">
      <c r="G172" s="57"/>
    </row>
    <row r="173" spans="7:7" x14ac:dyDescent="0.2">
      <c r="G173" s="57"/>
    </row>
    <row r="174" spans="7:7" x14ac:dyDescent="0.2">
      <c r="G174" s="57"/>
    </row>
    <row r="175" spans="7:7" x14ac:dyDescent="0.2">
      <c r="G175" s="57"/>
    </row>
    <row r="176" spans="7:7" x14ac:dyDescent="0.2">
      <c r="G176" s="57"/>
    </row>
    <row r="177" spans="7:7" x14ac:dyDescent="0.2">
      <c r="G177" s="57"/>
    </row>
    <row r="178" spans="7:7" x14ac:dyDescent="0.2">
      <c r="G178" s="57"/>
    </row>
    <row r="179" spans="7:7" x14ac:dyDescent="0.2">
      <c r="G179" s="57"/>
    </row>
    <row r="180" spans="7:7" x14ac:dyDescent="0.2">
      <c r="G180" s="57"/>
    </row>
    <row r="181" spans="7:7" x14ac:dyDescent="0.2">
      <c r="G181" s="57"/>
    </row>
    <row r="182" spans="7:7" x14ac:dyDescent="0.2">
      <c r="G182" s="57"/>
    </row>
    <row r="183" spans="7:7" x14ac:dyDescent="0.2">
      <c r="G183" s="57"/>
    </row>
    <row r="184" spans="7:7" x14ac:dyDescent="0.2">
      <c r="G184" s="57"/>
    </row>
    <row r="185" spans="7:7" x14ac:dyDescent="0.2">
      <c r="G185" s="57"/>
    </row>
    <row r="186" spans="7:7" x14ac:dyDescent="0.2">
      <c r="G186" s="57"/>
    </row>
    <row r="187" spans="7:7" x14ac:dyDescent="0.2">
      <c r="G187" s="57"/>
    </row>
    <row r="188" spans="7:7" x14ac:dyDescent="0.2">
      <c r="G188" s="57"/>
    </row>
    <row r="189" spans="7:7" x14ac:dyDescent="0.2">
      <c r="G189" s="57"/>
    </row>
    <row r="190" spans="7:7" x14ac:dyDescent="0.2">
      <c r="G190" s="57"/>
    </row>
    <row r="191" spans="7:7" x14ac:dyDescent="0.2">
      <c r="G191" s="57"/>
    </row>
    <row r="192" spans="7:7" x14ac:dyDescent="0.2">
      <c r="G192" s="57"/>
    </row>
    <row r="193" spans="7:7" x14ac:dyDescent="0.2">
      <c r="G193" s="57"/>
    </row>
    <row r="194" spans="7:7" x14ac:dyDescent="0.2">
      <c r="G194" s="57"/>
    </row>
    <row r="195" spans="7:7" x14ac:dyDescent="0.2">
      <c r="G195" s="57"/>
    </row>
    <row r="196" spans="7:7" x14ac:dyDescent="0.2">
      <c r="G196" s="57"/>
    </row>
    <row r="197" spans="7:7" x14ac:dyDescent="0.2">
      <c r="G197" s="57"/>
    </row>
    <row r="198" spans="7:7" x14ac:dyDescent="0.2">
      <c r="G198" s="57"/>
    </row>
    <row r="199" spans="7:7" x14ac:dyDescent="0.2">
      <c r="G199" s="57"/>
    </row>
    <row r="200" spans="7:7" x14ac:dyDescent="0.2">
      <c r="G200" s="57"/>
    </row>
    <row r="201" spans="7:7" x14ac:dyDescent="0.2">
      <c r="G201" s="57"/>
    </row>
    <row r="202" spans="7:7" x14ac:dyDescent="0.2">
      <c r="G202" s="57"/>
    </row>
    <row r="203" spans="7:7" x14ac:dyDescent="0.2">
      <c r="G203" s="57"/>
    </row>
    <row r="204" spans="7:7" x14ac:dyDescent="0.2">
      <c r="G204" s="57"/>
    </row>
    <row r="205" spans="7:7" x14ac:dyDescent="0.2">
      <c r="G205" s="57"/>
    </row>
    <row r="206" spans="7:7" x14ac:dyDescent="0.2">
      <c r="G206" s="57"/>
    </row>
    <row r="207" spans="7:7" x14ac:dyDescent="0.2">
      <c r="G207" s="57"/>
    </row>
    <row r="208" spans="7:7" x14ac:dyDescent="0.2">
      <c r="G208" s="57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0" t="s">
        <v>122</v>
      </c>
      <c r="B1" s="44"/>
      <c r="C1" s="15"/>
      <c r="D1" s="44"/>
      <c r="E1" s="44"/>
      <c r="F1" s="44"/>
      <c r="G1" s="44"/>
      <c r="H1" s="44"/>
      <c r="I1" s="44"/>
      <c r="J1" s="44"/>
      <c r="K1" s="44"/>
    </row>
    <row r="2" spans="1:11" s="27" customFormat="1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29" customFormat="1" ht="24" x14ac:dyDescent="0.2">
      <c r="A3" s="33" t="s">
        <v>3</v>
      </c>
      <c r="B3" s="34" t="s">
        <v>4</v>
      </c>
      <c r="C3" s="33" t="s">
        <v>123</v>
      </c>
      <c r="D3" s="33" t="s">
        <v>124</v>
      </c>
      <c r="E3" s="33" t="s">
        <v>49</v>
      </c>
      <c r="F3" s="33" t="s">
        <v>46</v>
      </c>
      <c r="G3" s="33" t="s">
        <v>43</v>
      </c>
      <c r="H3" s="33" t="s">
        <v>36</v>
      </c>
      <c r="I3" s="207"/>
      <c r="J3" s="207"/>
      <c r="K3" s="207"/>
    </row>
    <row r="4" spans="1:11" x14ac:dyDescent="0.2">
      <c r="A4" s="238" t="s">
        <v>125</v>
      </c>
      <c r="B4" s="35" t="s">
        <v>88</v>
      </c>
      <c r="C4" s="36">
        <v>38838</v>
      </c>
      <c r="D4" s="37">
        <v>48534</v>
      </c>
      <c r="E4" s="37">
        <v>53936</v>
      </c>
      <c r="F4" s="37">
        <f t="shared" ref="F4:F12" si="0">E4-D4</f>
        <v>5402</v>
      </c>
      <c r="G4" s="37"/>
      <c r="H4" s="38">
        <f>F4*0.98934</f>
        <v>5344.4146799999999</v>
      </c>
      <c r="I4" s="44"/>
      <c r="J4" s="44"/>
      <c r="K4" s="44"/>
    </row>
    <row r="5" spans="1:11" x14ac:dyDescent="0.2">
      <c r="A5" s="238"/>
      <c r="B5" s="39" t="s">
        <v>89</v>
      </c>
      <c r="C5" s="36">
        <v>38869</v>
      </c>
      <c r="D5" s="37">
        <v>53936</v>
      </c>
      <c r="E5" s="37">
        <v>57534</v>
      </c>
      <c r="F5" s="37">
        <f t="shared" si="0"/>
        <v>3598</v>
      </c>
      <c r="G5" s="37"/>
      <c r="H5" s="38">
        <f>F5*0.97388</f>
        <v>3504.0202399999998</v>
      </c>
      <c r="I5" s="44"/>
      <c r="J5" s="44"/>
      <c r="K5" s="44"/>
    </row>
    <row r="6" spans="1:11" x14ac:dyDescent="0.2">
      <c r="A6" s="238"/>
      <c r="B6" s="39" t="s">
        <v>90</v>
      </c>
      <c r="C6" s="36">
        <v>38896</v>
      </c>
      <c r="D6" s="37">
        <v>57534</v>
      </c>
      <c r="E6" s="37">
        <v>59617</v>
      </c>
      <c r="F6" s="37">
        <f t="shared" si="0"/>
        <v>2083</v>
      </c>
      <c r="G6" s="37"/>
      <c r="H6" s="38">
        <f>F6*0.81874</f>
        <v>1705.43542</v>
      </c>
      <c r="I6" s="44"/>
      <c r="J6" s="44"/>
      <c r="K6" s="44"/>
    </row>
    <row r="7" spans="1:11" x14ac:dyDescent="0.2">
      <c r="A7" s="238"/>
      <c r="B7" s="39" t="s">
        <v>91</v>
      </c>
      <c r="C7" s="36">
        <v>38925</v>
      </c>
      <c r="D7" s="37">
        <v>59617</v>
      </c>
      <c r="E7" s="37">
        <v>61755</v>
      </c>
      <c r="F7" s="37">
        <f t="shared" si="0"/>
        <v>2138</v>
      </c>
      <c r="G7" s="37"/>
      <c r="H7" s="38">
        <f>F7*0.82277</f>
        <v>1759.0822599999999</v>
      </c>
      <c r="I7" s="44"/>
      <c r="J7" s="44"/>
      <c r="K7" s="44"/>
    </row>
    <row r="8" spans="1:11" x14ac:dyDescent="0.2">
      <c r="A8" s="238"/>
      <c r="B8" s="39" t="s">
        <v>92</v>
      </c>
      <c r="C8" s="36">
        <v>38965</v>
      </c>
      <c r="D8" s="37">
        <v>61755</v>
      </c>
      <c r="E8" s="37">
        <v>64169</v>
      </c>
      <c r="F8" s="37">
        <f t="shared" si="0"/>
        <v>2414</v>
      </c>
      <c r="G8" s="37"/>
      <c r="H8" s="38">
        <f>F8*0.88001</f>
        <v>2124.3441399999997</v>
      </c>
      <c r="I8" s="44"/>
      <c r="J8" s="44"/>
      <c r="K8" s="44"/>
    </row>
    <row r="9" spans="1:11" x14ac:dyDescent="0.2">
      <c r="A9" s="238"/>
      <c r="B9" s="39" t="s">
        <v>93</v>
      </c>
      <c r="C9" s="36">
        <v>38993</v>
      </c>
      <c r="D9" s="37">
        <f>E8</f>
        <v>64169</v>
      </c>
      <c r="E9" s="37">
        <v>67411</v>
      </c>
      <c r="F9" s="37">
        <f t="shared" si="0"/>
        <v>3242</v>
      </c>
      <c r="G9" s="40">
        <v>0.91320000000000001</v>
      </c>
      <c r="H9" s="38">
        <f>F9*G9</f>
        <v>2960.5944</v>
      </c>
      <c r="I9" s="44"/>
      <c r="J9" s="44"/>
      <c r="K9" s="44"/>
    </row>
    <row r="10" spans="1:11" x14ac:dyDescent="0.2">
      <c r="A10" s="238"/>
      <c r="B10" s="39" t="s">
        <v>94</v>
      </c>
      <c r="C10" s="36">
        <v>39035</v>
      </c>
      <c r="D10" s="37">
        <f>E9</f>
        <v>67411</v>
      </c>
      <c r="E10" s="37">
        <v>73404</v>
      </c>
      <c r="F10" s="37">
        <f t="shared" si="0"/>
        <v>5993</v>
      </c>
      <c r="G10" s="40">
        <v>0.75209999999999999</v>
      </c>
      <c r="H10" s="38">
        <f>F10*G10</f>
        <v>4507.3352999999997</v>
      </c>
      <c r="I10" s="44"/>
      <c r="J10" s="44"/>
      <c r="K10" s="44"/>
    </row>
    <row r="11" spans="1:11" x14ac:dyDescent="0.2">
      <c r="A11" s="238"/>
      <c r="B11" s="39" t="s">
        <v>95</v>
      </c>
      <c r="C11" s="12">
        <v>39056</v>
      </c>
      <c r="D11" s="37">
        <f>E10</f>
        <v>73404</v>
      </c>
      <c r="E11" s="37">
        <v>77739</v>
      </c>
      <c r="F11" s="37">
        <f t="shared" si="0"/>
        <v>4335</v>
      </c>
      <c r="G11" s="40">
        <v>1.0068999999999999</v>
      </c>
      <c r="H11" s="38">
        <f>F11*G11</f>
        <v>4364.9114999999993</v>
      </c>
      <c r="I11" s="44"/>
      <c r="J11" s="44"/>
      <c r="K11" s="44"/>
    </row>
    <row r="12" spans="1:11" x14ac:dyDescent="0.2">
      <c r="A12" s="238"/>
      <c r="B12" s="39" t="s">
        <v>96</v>
      </c>
      <c r="C12" s="12">
        <v>38725</v>
      </c>
      <c r="D12" s="37">
        <f>E11</f>
        <v>77739</v>
      </c>
      <c r="E12" s="37">
        <v>83671</v>
      </c>
      <c r="F12" s="37">
        <f t="shared" si="0"/>
        <v>5932</v>
      </c>
      <c r="G12" s="40">
        <v>0.92145356190772698</v>
      </c>
      <c r="H12" s="38">
        <f>F12*G12</f>
        <v>5466.0625292366367</v>
      </c>
      <c r="I12" s="44"/>
      <c r="J12" s="44"/>
      <c r="K12" s="44"/>
    </row>
    <row r="13" spans="1:11" x14ac:dyDescent="0.2">
      <c r="A13" s="239" t="s">
        <v>48</v>
      </c>
      <c r="B13" s="35" t="s">
        <v>88</v>
      </c>
      <c r="C13" s="36">
        <v>38838</v>
      </c>
      <c r="D13" s="41">
        <v>2444</v>
      </c>
      <c r="E13" s="41">
        <v>2778</v>
      </c>
      <c r="F13" s="41">
        <f t="shared" ref="F13:F21" si="1">E13-D13</f>
        <v>334</v>
      </c>
      <c r="G13" s="41"/>
      <c r="H13" s="38">
        <f>F13*0.98934</f>
        <v>330.43955999999997</v>
      </c>
      <c r="I13" s="44"/>
      <c r="J13" s="44"/>
      <c r="K13" s="44"/>
    </row>
    <row r="14" spans="1:11" x14ac:dyDescent="0.2">
      <c r="A14" s="239"/>
      <c r="B14" s="39" t="s">
        <v>89</v>
      </c>
      <c r="C14" s="36">
        <v>38869</v>
      </c>
      <c r="D14" s="41">
        <v>2778</v>
      </c>
      <c r="E14" s="37">
        <v>2978</v>
      </c>
      <c r="F14" s="37">
        <f t="shared" si="1"/>
        <v>200</v>
      </c>
      <c r="G14" s="37"/>
      <c r="H14" s="38">
        <f>F14*0.97388</f>
        <v>194.77599999999998</v>
      </c>
      <c r="I14" s="44"/>
      <c r="J14" s="44"/>
      <c r="K14" s="44"/>
    </row>
    <row r="15" spans="1:11" x14ac:dyDescent="0.2">
      <c r="A15" s="239"/>
      <c r="B15" s="39" t="s">
        <v>90</v>
      </c>
      <c r="C15" s="36">
        <v>38896</v>
      </c>
      <c r="D15" s="37">
        <v>2978</v>
      </c>
      <c r="E15" s="37">
        <v>3019</v>
      </c>
      <c r="F15" s="37">
        <f t="shared" si="1"/>
        <v>41</v>
      </c>
      <c r="G15" s="37"/>
      <c r="H15" s="38">
        <f>F15*0.81874</f>
        <v>33.568339999999999</v>
      </c>
      <c r="I15" s="107"/>
      <c r="J15" s="44"/>
      <c r="K15" s="208"/>
    </row>
    <row r="16" spans="1:11" x14ac:dyDescent="0.2">
      <c r="A16" s="239"/>
      <c r="B16" s="39" t="s">
        <v>91</v>
      </c>
      <c r="C16" s="36">
        <v>38925</v>
      </c>
      <c r="D16" s="37">
        <v>3019</v>
      </c>
      <c r="E16" s="37">
        <v>3061</v>
      </c>
      <c r="F16" s="37">
        <f t="shared" si="1"/>
        <v>42</v>
      </c>
      <c r="G16" s="37"/>
      <c r="H16" s="38">
        <f>F16*0.82277</f>
        <v>34.556339999999999</v>
      </c>
      <c r="I16" s="107"/>
      <c r="J16" s="44"/>
      <c r="K16" s="208"/>
    </row>
    <row r="17" spans="1:8" x14ac:dyDescent="0.2">
      <c r="A17" s="239"/>
      <c r="B17" s="39" t="s">
        <v>92</v>
      </c>
      <c r="C17" s="36">
        <v>38965</v>
      </c>
      <c r="D17" s="37">
        <v>3061</v>
      </c>
      <c r="E17" s="37">
        <v>3162</v>
      </c>
      <c r="F17" s="37">
        <f t="shared" si="1"/>
        <v>101</v>
      </c>
      <c r="G17" s="37"/>
      <c r="H17" s="38">
        <f>F17*0.88001</f>
        <v>88.881009999999989</v>
      </c>
    </row>
    <row r="18" spans="1:8" x14ac:dyDescent="0.2">
      <c r="A18" s="239"/>
      <c r="B18" s="39" t="s">
        <v>93</v>
      </c>
      <c r="C18" s="36">
        <v>38993</v>
      </c>
      <c r="D18" s="37">
        <f>E17</f>
        <v>3162</v>
      </c>
      <c r="E18" s="37">
        <v>3391</v>
      </c>
      <c r="F18" s="37">
        <f t="shared" si="1"/>
        <v>229</v>
      </c>
      <c r="G18" s="40">
        <v>0.91320000000000001</v>
      </c>
      <c r="H18" s="38">
        <f>F18*G18</f>
        <v>209.12280000000001</v>
      </c>
    </row>
    <row r="19" spans="1:8" x14ac:dyDescent="0.2">
      <c r="A19" s="239"/>
      <c r="B19" s="39" t="s">
        <v>94</v>
      </c>
      <c r="C19" s="36">
        <v>39035</v>
      </c>
      <c r="D19" s="37">
        <f>E18</f>
        <v>3391</v>
      </c>
      <c r="E19" s="37">
        <v>3708</v>
      </c>
      <c r="F19" s="37">
        <f t="shared" si="1"/>
        <v>317</v>
      </c>
      <c r="G19" s="40">
        <v>0.75209999999999999</v>
      </c>
      <c r="H19" s="38">
        <f>F19*G19</f>
        <v>238.41569999999999</v>
      </c>
    </row>
    <row r="20" spans="1:8" x14ac:dyDescent="0.2">
      <c r="A20" s="239"/>
      <c r="B20" s="39" t="s">
        <v>95</v>
      </c>
      <c r="C20" s="12">
        <v>39056</v>
      </c>
      <c r="D20" s="37">
        <f>E19</f>
        <v>3708</v>
      </c>
      <c r="E20" s="37">
        <v>3890</v>
      </c>
      <c r="F20" s="37">
        <f t="shared" si="1"/>
        <v>182</v>
      </c>
      <c r="G20" s="40">
        <v>1.0068999999999999</v>
      </c>
      <c r="H20" s="38">
        <f>F20*G20</f>
        <v>183.25579999999999</v>
      </c>
    </row>
    <row r="21" spans="1:8" x14ac:dyDescent="0.2">
      <c r="A21" s="239"/>
      <c r="B21" s="39" t="s">
        <v>96</v>
      </c>
      <c r="C21" s="12">
        <v>38725</v>
      </c>
      <c r="D21" s="37">
        <f>E20</f>
        <v>3890</v>
      </c>
      <c r="E21" s="58">
        <v>4075</v>
      </c>
      <c r="F21" s="37">
        <f t="shared" si="1"/>
        <v>185</v>
      </c>
      <c r="G21" s="40">
        <v>0.92145356190772698</v>
      </c>
      <c r="H21" s="38">
        <f>F21*G21</f>
        <v>170.4689089529295</v>
      </c>
    </row>
    <row r="23" spans="1:8" x14ac:dyDescent="0.2">
      <c r="A23" s="8" t="s">
        <v>18</v>
      </c>
      <c r="B23" s="44"/>
      <c r="C23" s="44"/>
      <c r="D23" s="44"/>
      <c r="E23" s="44"/>
      <c r="F23" s="44"/>
      <c r="G23" s="44"/>
      <c r="H23" s="44"/>
    </row>
    <row r="24" spans="1:8" x14ac:dyDescent="0.2">
      <c r="A24" s="8" t="s">
        <v>51</v>
      </c>
      <c r="B24" s="44"/>
      <c r="C24" s="44"/>
      <c r="D24" s="44"/>
      <c r="E24" s="44"/>
      <c r="F24" s="44"/>
      <c r="G24" s="44"/>
      <c r="H24" s="44"/>
    </row>
  </sheetData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1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Manager/>
  <Company>UC Merced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Olson</dc:creator>
  <cp:keywords/>
  <dc:description/>
  <cp:lastModifiedBy>ucmuser</cp:lastModifiedBy>
  <cp:revision/>
  <cp:lastPrinted>2017-06-08T17:41:41Z</cp:lastPrinted>
  <dcterms:created xsi:type="dcterms:W3CDTF">2005-09-26T20:22:28Z</dcterms:created>
  <dcterms:modified xsi:type="dcterms:W3CDTF">2018-04-13T20:15:59Z</dcterms:modified>
  <cp:category/>
  <cp:contentStatus/>
</cp:coreProperties>
</file>