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muser\Documents\GitHub\refillRecharge\"/>
    </mc:Choice>
  </mc:AlternateContent>
  <bookViews>
    <workbookView xWindow="0" yWindow="0" windowWidth="10110" windowHeight="7935" tabRatio="685" firstSheet="1" activeTab="10"/>
  </bookViews>
  <sheets>
    <sheet name="Load Shape" sheetId="1" state="hidden" r:id="rId1"/>
    <sheet name="Utility Summary" sheetId="2" r:id="rId2"/>
    <sheet name="Electricity" sheetId="3" r:id="rId3"/>
    <sheet name="Gas" sheetId="4" r:id="rId4"/>
    <sheet name="Water" sheetId="5" r:id="rId5"/>
    <sheet name="Field Form" sheetId="6" state="hidden" r:id="rId6"/>
    <sheet name="Utilities Summary Old " sheetId="7" state="hidden" r:id="rId7"/>
    <sheet name="Electric old" sheetId="8" state="hidden" r:id="rId8"/>
    <sheet name="Gas Old" sheetId="9" state="hidden" r:id="rId9"/>
    <sheet name="Water Old" sheetId="10" state="hidden" r:id="rId10"/>
    <sheet name="Chilled Water" sheetId="11" r:id="rId11"/>
  </sheets>
  <externalReferences>
    <externalReference r:id="rId12"/>
    <externalReference r:id="rId13"/>
    <externalReference r:id="rId14"/>
  </externalReferences>
  <definedNames>
    <definedName name="_xlnm.Print_Area" localSheetId="6">'Utilities Summary Old '!$A$1:$G$159</definedName>
    <definedName name="_xlnm.Print_Area" localSheetId="1">'Utility Summary'!$A$1:$U$89</definedName>
    <definedName name="_xlnm.Print_Area" localSheetId="9">'Water Old'!$A$1:$G$141</definedName>
    <definedName name="_xlnm.Print_Titles" localSheetId="7">'Electric old'!$1:$3</definedName>
    <definedName name="_xlnm.Print_Titles" localSheetId="6">'Utilities Summary Old '!$1:$3</definedName>
    <definedName name="_xlnm.Print_Titles" localSheetId="9">'Water Old'!$1:$3</definedName>
    <definedName name="Z_10A73640_EEC6_41E7_B502_1530CC038C4B_.wvu.Cols" localSheetId="10" hidden="1">'Chilled Water'!$C:$G,'Chilled Water'!$I:$P</definedName>
    <definedName name="Z_10A73640_EEC6_41E7_B502_1530CC038C4B_.wvu.Cols" localSheetId="2" hidden="1">Electricity!$C:$G,Electricity!$I:$O</definedName>
    <definedName name="Z_10A73640_EEC6_41E7_B502_1530CC038C4B_.wvu.Cols" localSheetId="3" hidden="1">Gas!$I:$P</definedName>
    <definedName name="Z_10A73640_EEC6_41E7_B502_1530CC038C4B_.wvu.Cols" localSheetId="1" hidden="1">'Utility Summary'!$C:$G,'Utility Summary'!$I:$P</definedName>
    <definedName name="Z_10A73640_EEC6_41E7_B502_1530CC038C4B_.wvu.Cols" localSheetId="4" hidden="1">Water!$C:$G,Water!$I:$P</definedName>
    <definedName name="Z_10A73640_EEC6_41E7_B502_1530CC038C4B_.wvu.PrintArea" localSheetId="6" hidden="1">'Utilities Summary Old '!$A$1:$G$159</definedName>
    <definedName name="Z_10A73640_EEC6_41E7_B502_1530CC038C4B_.wvu.PrintArea" localSheetId="1" hidden="1">'Utility Summary'!$A$1:$U$89</definedName>
    <definedName name="Z_10A73640_EEC6_41E7_B502_1530CC038C4B_.wvu.PrintArea" localSheetId="9" hidden="1">'Water Old'!$A$1:$G$141</definedName>
    <definedName name="Z_10A73640_EEC6_41E7_B502_1530CC038C4B_.wvu.PrintTitles" localSheetId="7" hidden="1">'Electric old'!$1:$3</definedName>
    <definedName name="Z_10A73640_EEC6_41E7_B502_1530CC038C4B_.wvu.PrintTitles" localSheetId="6" hidden="1">'Utilities Summary Old '!$1:$3</definedName>
    <definedName name="Z_10A73640_EEC6_41E7_B502_1530CC038C4B_.wvu.PrintTitles" localSheetId="9" hidden="1">'Water Old'!$1:$3</definedName>
    <definedName name="Z_10A73640_EEC6_41E7_B502_1530CC038C4B_.wvu.Rows" localSheetId="3" hidden="1">Gas!$38:$41</definedName>
    <definedName name="Z_10A73640_EEC6_41E7_B502_1530CC038C4B_.wvu.Rows" localSheetId="1" hidden="1">'Utility Summary'!$72:$76</definedName>
    <definedName name="Z_507E6E96_4EC3_4333_BE0D_BDD19D4BA57B_.wvu.Cols" localSheetId="10" hidden="1">'Chilled Water'!$C:$I,'Chilled Water'!$K:$P</definedName>
    <definedName name="Z_507E6E96_4EC3_4333_BE0D_BDD19D4BA57B_.wvu.Cols" localSheetId="2" hidden="1">Electricity!$C:$I,Electricity!$K:$P</definedName>
    <definedName name="Z_507E6E96_4EC3_4333_BE0D_BDD19D4BA57B_.wvu.Cols" localSheetId="3" hidden="1">Gas!$C:$I,Gas!$K:$P</definedName>
    <definedName name="Z_507E6E96_4EC3_4333_BE0D_BDD19D4BA57B_.wvu.Cols" localSheetId="1" hidden="1">'Utility Summary'!$C:$I,'Utility Summary'!$K:$P</definedName>
    <definedName name="Z_507E6E96_4EC3_4333_BE0D_BDD19D4BA57B_.wvu.Cols" localSheetId="4" hidden="1">Water!$C:$I,Water!$K:$P</definedName>
    <definedName name="Z_507E6E96_4EC3_4333_BE0D_BDD19D4BA57B_.wvu.PrintArea" localSheetId="6" hidden="1">'Utilities Summary Old '!$A$1:$G$159</definedName>
    <definedName name="Z_507E6E96_4EC3_4333_BE0D_BDD19D4BA57B_.wvu.PrintArea" localSheetId="1" hidden="1">'Utility Summary'!$A$1:$U$89</definedName>
    <definedName name="Z_507E6E96_4EC3_4333_BE0D_BDD19D4BA57B_.wvu.PrintArea" localSheetId="9" hidden="1">'Water Old'!$A$1:$G$141</definedName>
    <definedName name="Z_507E6E96_4EC3_4333_BE0D_BDD19D4BA57B_.wvu.PrintTitles" localSheetId="7" hidden="1">'Electric old'!$1:$3</definedName>
    <definedName name="Z_507E6E96_4EC3_4333_BE0D_BDD19D4BA57B_.wvu.PrintTitles" localSheetId="6" hidden="1">'Utilities Summary Old '!$1:$3</definedName>
    <definedName name="Z_507E6E96_4EC3_4333_BE0D_BDD19D4BA57B_.wvu.PrintTitles" localSheetId="9" hidden="1">'Water Old'!$1:$3</definedName>
    <definedName name="Z_507E6E96_4EC3_4333_BE0D_BDD19D4BA57B_.wvu.Rows" localSheetId="3" hidden="1">Gas!$38:$41</definedName>
    <definedName name="Z_507E6E96_4EC3_4333_BE0D_BDD19D4BA57B_.wvu.Rows" localSheetId="1" hidden="1">'Utility Summary'!$72:$76</definedName>
    <definedName name="Z_7E611BF3_29F9_42C0_9604_1424EEA5D170_.wvu.Cols" localSheetId="10" hidden="1">'Chilled Water'!$C:$I,'Chilled Water'!$K:$P</definedName>
    <definedName name="Z_7E611BF3_29F9_42C0_9604_1424EEA5D170_.wvu.Cols" localSheetId="2" hidden="1">Electricity!$C:$I,Electricity!$K:$O</definedName>
    <definedName name="Z_7E611BF3_29F9_42C0_9604_1424EEA5D170_.wvu.Cols" localSheetId="3" hidden="1">Gas!$C:$I,Gas!$K:$P</definedName>
    <definedName name="Z_7E611BF3_29F9_42C0_9604_1424EEA5D170_.wvu.Cols" localSheetId="1" hidden="1">'Utility Summary'!$C:$I,'Utility Summary'!$K:$P</definedName>
    <definedName name="Z_7E611BF3_29F9_42C0_9604_1424EEA5D170_.wvu.Cols" localSheetId="4" hidden="1">Water!$C:$I,Water!$K:$P</definedName>
    <definedName name="Z_7E611BF3_29F9_42C0_9604_1424EEA5D170_.wvu.PrintArea" localSheetId="6" hidden="1">'Utilities Summary Old '!$A$1:$G$159</definedName>
    <definedName name="Z_7E611BF3_29F9_42C0_9604_1424EEA5D170_.wvu.PrintArea" localSheetId="1" hidden="1">'Utility Summary'!$A$1:$U$89</definedName>
    <definedName name="Z_7E611BF3_29F9_42C0_9604_1424EEA5D170_.wvu.PrintArea" localSheetId="9" hidden="1">'Water Old'!$A$1:$G$141</definedName>
    <definedName name="Z_7E611BF3_29F9_42C0_9604_1424EEA5D170_.wvu.PrintTitles" localSheetId="7" hidden="1">'Electric old'!$1:$3</definedName>
    <definedName name="Z_7E611BF3_29F9_42C0_9604_1424EEA5D170_.wvu.PrintTitles" localSheetId="6" hidden="1">'Utilities Summary Old '!$1:$3</definedName>
    <definedName name="Z_7E611BF3_29F9_42C0_9604_1424EEA5D170_.wvu.PrintTitles" localSheetId="9" hidden="1">'Water Old'!$1:$3</definedName>
    <definedName name="Z_7E611BF3_29F9_42C0_9604_1424EEA5D170_.wvu.Rows" localSheetId="3" hidden="1">Gas!$38:$41</definedName>
    <definedName name="Z_7E611BF3_29F9_42C0_9604_1424EEA5D170_.wvu.Rows" localSheetId="1" hidden="1">'Utility Summary'!$72:$76</definedName>
    <definedName name="Z_902840B4_CA0A_4F6E_BC43_8C327A56ACC5_.wvu.Cols" localSheetId="10" hidden="1">'Chilled Water'!$C:$K,'Chilled Water'!$M:$P</definedName>
    <definedName name="Z_902840B4_CA0A_4F6E_BC43_8C327A56ACC5_.wvu.Cols" localSheetId="2" hidden="1">Electricity!$C:$K,Electricity!$M:$P</definedName>
    <definedName name="Z_902840B4_CA0A_4F6E_BC43_8C327A56ACC5_.wvu.Cols" localSheetId="3" hidden="1">Gas!$C:$K,Gas!$M:$P</definedName>
    <definedName name="Z_902840B4_CA0A_4F6E_BC43_8C327A56ACC5_.wvu.Cols" localSheetId="1" hidden="1">'Utility Summary'!$C:$K,'Utility Summary'!$M:$R</definedName>
    <definedName name="Z_902840B4_CA0A_4F6E_BC43_8C327A56ACC5_.wvu.Cols" localSheetId="4" hidden="1">Water!$C:$K,Water!$M:$Q</definedName>
    <definedName name="Z_902840B4_CA0A_4F6E_BC43_8C327A56ACC5_.wvu.PrintArea" localSheetId="6" hidden="1">'Utilities Summary Old '!$A$1:$G$159</definedName>
    <definedName name="Z_902840B4_CA0A_4F6E_BC43_8C327A56ACC5_.wvu.PrintArea" localSheetId="1" hidden="1">'Utility Summary'!$A$1:$U$89</definedName>
    <definedName name="Z_902840B4_CA0A_4F6E_BC43_8C327A56ACC5_.wvu.PrintArea" localSheetId="9" hidden="1">'Water Old'!$A$1:$G$141</definedName>
    <definedName name="Z_902840B4_CA0A_4F6E_BC43_8C327A56ACC5_.wvu.PrintTitles" localSheetId="7" hidden="1">'Electric old'!$1:$3</definedName>
    <definedName name="Z_902840B4_CA0A_4F6E_BC43_8C327A56ACC5_.wvu.PrintTitles" localSheetId="6" hidden="1">'Utilities Summary Old '!$1:$3</definedName>
    <definedName name="Z_902840B4_CA0A_4F6E_BC43_8C327A56ACC5_.wvu.PrintTitles" localSheetId="9" hidden="1">'Water Old'!$1:$3</definedName>
    <definedName name="Z_902840B4_CA0A_4F6E_BC43_8C327A56ACC5_.wvu.Rows" localSheetId="3" hidden="1">Gas!$38:$41</definedName>
    <definedName name="Z_902840B4_CA0A_4F6E_BC43_8C327A56ACC5_.wvu.Rows" localSheetId="1" hidden="1">'Utility Summary'!$72:$76</definedName>
    <definedName name="Z_BAA39939_E753_438A_B867_0C9F92A74103_.wvu.Cols" localSheetId="10" hidden="1">'Chilled Water'!$F:$P</definedName>
    <definedName name="Z_BAA39939_E753_438A_B867_0C9F92A74103_.wvu.Cols" localSheetId="2" hidden="1">Electricity!$F:$P</definedName>
    <definedName name="Z_BAA39939_E753_438A_B867_0C9F92A74103_.wvu.Cols" localSheetId="3" hidden="1">Gas!$F:$P</definedName>
    <definedName name="Z_BAA39939_E753_438A_B867_0C9F92A74103_.wvu.Cols" localSheetId="4" hidden="1">Water!$F:$P</definedName>
    <definedName name="Z_BAA39939_E753_438A_B867_0C9F92A74103_.wvu.PrintArea" localSheetId="6" hidden="1">'Utilities Summary Old '!$A$1:$G$159</definedName>
    <definedName name="Z_BAA39939_E753_438A_B867_0C9F92A74103_.wvu.PrintArea" localSheetId="1" hidden="1">'Utility Summary'!$A$1:$U$89</definedName>
    <definedName name="Z_BAA39939_E753_438A_B867_0C9F92A74103_.wvu.PrintArea" localSheetId="9" hidden="1">'Water Old'!$A$1:$G$141</definedName>
    <definedName name="Z_BAA39939_E753_438A_B867_0C9F92A74103_.wvu.PrintTitles" localSheetId="7" hidden="1">'Electric old'!$1:$3</definedName>
    <definedName name="Z_BAA39939_E753_438A_B867_0C9F92A74103_.wvu.PrintTitles" localSheetId="6" hidden="1">'Utilities Summary Old '!$1:$3</definedName>
    <definedName name="Z_BAA39939_E753_438A_B867_0C9F92A74103_.wvu.PrintTitles" localSheetId="9" hidden="1">'Water Old'!$1:$3</definedName>
    <definedName name="Z_BAA39939_E753_438A_B867_0C9F92A74103_.wvu.Rows" localSheetId="3" hidden="1">Gas!$38:$41</definedName>
    <definedName name="Z_BAA39939_E753_438A_B867_0C9F92A74103_.wvu.Rows" localSheetId="1" hidden="1">'Utility Summary'!$72:$76</definedName>
    <definedName name="Z_C9E92C5F_0D58_4CFB_9D13_E03F6AA5D0E3_.wvu.Cols" localSheetId="10" hidden="1">'Chilled Water'!$C:$K,'Chilled Water'!$M:$Q</definedName>
    <definedName name="Z_C9E92C5F_0D58_4CFB_9D13_E03F6AA5D0E3_.wvu.Cols" localSheetId="2" hidden="1">Electricity!$C:$K,Electricity!$M:$Q</definedName>
    <definedName name="Z_C9E92C5F_0D58_4CFB_9D13_E03F6AA5D0E3_.wvu.Cols" localSheetId="3" hidden="1">Gas!$C:$K,Gas!$M:$Q</definedName>
    <definedName name="Z_C9E92C5F_0D58_4CFB_9D13_E03F6AA5D0E3_.wvu.Cols" localSheetId="1" hidden="1">'Utility Summary'!$C:$K,'Utility Summary'!$M:$Q</definedName>
    <definedName name="Z_C9E92C5F_0D58_4CFB_9D13_E03F6AA5D0E3_.wvu.Cols" localSheetId="4" hidden="1">Water!$C:$K,Water!$M:$Q</definedName>
    <definedName name="Z_C9E92C5F_0D58_4CFB_9D13_E03F6AA5D0E3_.wvu.PrintArea" localSheetId="6" hidden="1">'Utilities Summary Old '!$A$1:$G$159</definedName>
    <definedName name="Z_C9E92C5F_0D58_4CFB_9D13_E03F6AA5D0E3_.wvu.PrintArea" localSheetId="1" hidden="1">'Utility Summary'!$A$1:$U$89</definedName>
    <definedName name="Z_C9E92C5F_0D58_4CFB_9D13_E03F6AA5D0E3_.wvu.PrintArea" localSheetId="9" hidden="1">'Water Old'!$A$1:$G$141</definedName>
    <definedName name="Z_C9E92C5F_0D58_4CFB_9D13_E03F6AA5D0E3_.wvu.PrintTitles" localSheetId="7" hidden="1">'Electric old'!$1:$3</definedName>
    <definedName name="Z_C9E92C5F_0D58_4CFB_9D13_E03F6AA5D0E3_.wvu.PrintTitles" localSheetId="6" hidden="1">'Utilities Summary Old '!$1:$3</definedName>
    <definedName name="Z_C9E92C5F_0D58_4CFB_9D13_E03F6AA5D0E3_.wvu.PrintTitles" localSheetId="9" hidden="1">'Water Old'!$1:$3</definedName>
    <definedName name="Z_C9E92C5F_0D58_4CFB_9D13_E03F6AA5D0E3_.wvu.Rows" localSheetId="3" hidden="1">Gas!$38:$41</definedName>
    <definedName name="Z_C9E92C5F_0D58_4CFB_9D13_E03F6AA5D0E3_.wvu.Rows" localSheetId="1" hidden="1">'Utility Summary'!$72:$76</definedName>
    <definedName name="Z_DFC6CB94_9BD9_42C9_9155_85AE48A8AF87_.wvu.Cols" localSheetId="4" hidden="1">Water!#REF!</definedName>
    <definedName name="Z_DFC6CB94_9BD9_42C9_9155_85AE48A8AF87_.wvu.PrintArea" localSheetId="6" hidden="1">'Utilities Summary Old '!$A$1:$G$159</definedName>
    <definedName name="Z_DFC6CB94_9BD9_42C9_9155_85AE48A8AF87_.wvu.PrintArea" localSheetId="9" hidden="1">'Water Old'!$A$1:$G$141</definedName>
    <definedName name="Z_DFC6CB94_9BD9_42C9_9155_85AE48A8AF87_.wvu.PrintTitles" localSheetId="7" hidden="1">'Electric old'!$1:$3</definedName>
    <definedName name="Z_DFC6CB94_9BD9_42C9_9155_85AE48A8AF87_.wvu.PrintTitles" localSheetId="6" hidden="1">'Utilities Summary Old '!$1:$3</definedName>
    <definedName name="Z_DFC6CB94_9BD9_42C9_9155_85AE48A8AF87_.wvu.PrintTitles" localSheetId="9" hidden="1">'Water Old'!$1:$3</definedName>
    <definedName name="Z_DFC6CB94_9BD9_42C9_9155_85AE48A8AF87_.wvu.Rows" localSheetId="3" hidden="1">Gas!$38:$41</definedName>
  </definedNames>
  <calcPr calcId="152511"/>
</workbook>
</file>

<file path=xl/calcChain.xml><?xml version="1.0" encoding="utf-8"?>
<calcChain xmlns="http://schemas.openxmlformats.org/spreadsheetml/2006/main">
  <c r="J7" i="3" l="1"/>
  <c r="J15" i="3"/>
  <c r="R100" i="11" l="1"/>
  <c r="N46" i="11"/>
  <c r="H46" i="11"/>
  <c r="F46" i="11"/>
  <c r="N45" i="11"/>
  <c r="M45" i="11"/>
  <c r="M46" i="11" s="1"/>
  <c r="M64" i="2" s="1"/>
  <c r="L45" i="11"/>
  <c r="L46" i="11" s="1"/>
  <c r="K45" i="11"/>
  <c r="K46" i="11" s="1"/>
  <c r="J45" i="11"/>
  <c r="I45" i="11"/>
  <c r="I46" i="11" s="1"/>
  <c r="H45" i="11"/>
  <c r="G45" i="11"/>
  <c r="G46" i="11" s="1"/>
  <c r="F45" i="11"/>
  <c r="E45" i="11"/>
  <c r="E46" i="11" s="1"/>
  <c r="D45" i="11"/>
  <c r="C45" i="11"/>
  <c r="L43" i="11"/>
  <c r="J43" i="11"/>
  <c r="I43" i="11"/>
  <c r="I59" i="2" s="1"/>
  <c r="H43" i="11"/>
  <c r="G43" i="11"/>
  <c r="D43" i="11"/>
  <c r="D59" i="2" s="1"/>
  <c r="N42" i="11"/>
  <c r="N43" i="11" s="1"/>
  <c r="M42" i="11"/>
  <c r="M43" i="11" s="1"/>
  <c r="L42" i="11"/>
  <c r="K42" i="11"/>
  <c r="K43" i="11" s="1"/>
  <c r="K59" i="2" s="1"/>
  <c r="J42" i="11"/>
  <c r="I42" i="11"/>
  <c r="H42" i="11"/>
  <c r="G42" i="11"/>
  <c r="O42" i="11" s="1"/>
  <c r="F42" i="11"/>
  <c r="F43" i="11" s="1"/>
  <c r="E42" i="11"/>
  <c r="E43" i="11" s="1"/>
  <c r="D42" i="11"/>
  <c r="C42" i="11"/>
  <c r="C43" i="11" s="1"/>
  <c r="L40" i="11"/>
  <c r="J40" i="11"/>
  <c r="I40" i="11"/>
  <c r="D40" i="11"/>
  <c r="N39" i="11"/>
  <c r="N40" i="11" s="1"/>
  <c r="M39" i="11"/>
  <c r="M40" i="11" s="1"/>
  <c r="L39" i="11"/>
  <c r="K39" i="11"/>
  <c r="K40" i="11" s="1"/>
  <c r="J39" i="11"/>
  <c r="I39" i="11"/>
  <c r="H39" i="11"/>
  <c r="H40" i="11" s="1"/>
  <c r="G39" i="11"/>
  <c r="G40" i="11" s="1"/>
  <c r="F39" i="11"/>
  <c r="F40" i="11" s="1"/>
  <c r="E39" i="11"/>
  <c r="E40" i="11" s="1"/>
  <c r="D39" i="11"/>
  <c r="C39" i="11"/>
  <c r="N37" i="11"/>
  <c r="L37" i="11"/>
  <c r="H37" i="11"/>
  <c r="F37" i="11"/>
  <c r="D37" i="11"/>
  <c r="N36" i="11"/>
  <c r="M36" i="11"/>
  <c r="M37" i="11" s="1"/>
  <c r="L36" i="11"/>
  <c r="K36" i="11"/>
  <c r="K37" i="11" s="1"/>
  <c r="J36" i="11"/>
  <c r="J37" i="11" s="1"/>
  <c r="J49" i="2" s="1"/>
  <c r="I36" i="11"/>
  <c r="I37" i="11" s="1"/>
  <c r="H36" i="11"/>
  <c r="G36" i="11"/>
  <c r="G37" i="11" s="1"/>
  <c r="F36" i="11"/>
  <c r="E36" i="11"/>
  <c r="E37" i="11" s="1"/>
  <c r="D36" i="11"/>
  <c r="C36" i="11"/>
  <c r="N34" i="11"/>
  <c r="H34" i="11"/>
  <c r="F34" i="11"/>
  <c r="E34" i="11"/>
  <c r="N33" i="11"/>
  <c r="M33" i="11"/>
  <c r="M34" i="11" s="1"/>
  <c r="L33" i="11"/>
  <c r="L34" i="11" s="1"/>
  <c r="K33" i="11"/>
  <c r="K34" i="11" s="1"/>
  <c r="J33" i="11"/>
  <c r="J34" i="11" s="1"/>
  <c r="I33" i="11"/>
  <c r="I34" i="11" s="1"/>
  <c r="H33" i="11"/>
  <c r="G33" i="11"/>
  <c r="G34" i="11" s="1"/>
  <c r="O34" i="11" s="1"/>
  <c r="F33" i="11"/>
  <c r="E33" i="11"/>
  <c r="D33" i="11"/>
  <c r="D34" i="11" s="1"/>
  <c r="C33" i="11"/>
  <c r="C34" i="11" s="1"/>
  <c r="J31" i="11"/>
  <c r="H31" i="11"/>
  <c r="G31" i="11"/>
  <c r="N30" i="11"/>
  <c r="N31" i="11" s="1"/>
  <c r="M30" i="11"/>
  <c r="M31" i="11" s="1"/>
  <c r="L30" i="11"/>
  <c r="L31" i="11" s="1"/>
  <c r="K30" i="11"/>
  <c r="K31" i="11" s="1"/>
  <c r="J30" i="11"/>
  <c r="I30" i="11"/>
  <c r="I31" i="11" s="1"/>
  <c r="I40" i="2" s="1"/>
  <c r="H30" i="11"/>
  <c r="G30" i="11"/>
  <c r="F30" i="11"/>
  <c r="F31" i="11" s="1"/>
  <c r="E30" i="11"/>
  <c r="E31" i="11" s="1"/>
  <c r="D30" i="11"/>
  <c r="C30" i="11"/>
  <c r="C31" i="11" s="1"/>
  <c r="N28" i="11"/>
  <c r="L28" i="11"/>
  <c r="J28" i="11"/>
  <c r="I28" i="11"/>
  <c r="D28" i="11"/>
  <c r="N27" i="11"/>
  <c r="M27" i="11"/>
  <c r="M28" i="11" s="1"/>
  <c r="L27" i="11"/>
  <c r="K27" i="11"/>
  <c r="K28" i="11" s="1"/>
  <c r="J27" i="11"/>
  <c r="I27" i="11"/>
  <c r="H27" i="11"/>
  <c r="H28" i="11" s="1"/>
  <c r="G27" i="11"/>
  <c r="G28" i="11" s="1"/>
  <c r="F27" i="11"/>
  <c r="F28" i="11" s="1"/>
  <c r="E27" i="11"/>
  <c r="E28" i="11" s="1"/>
  <c r="D27" i="11"/>
  <c r="C27" i="11"/>
  <c r="C28" i="11" s="1"/>
  <c r="N25" i="11"/>
  <c r="L25" i="11"/>
  <c r="K25" i="11"/>
  <c r="F25" i="11"/>
  <c r="D25" i="11"/>
  <c r="N24" i="11"/>
  <c r="M24" i="11"/>
  <c r="M25" i="11" s="1"/>
  <c r="L24" i="11"/>
  <c r="K24" i="11"/>
  <c r="J24" i="11"/>
  <c r="J25" i="11" s="1"/>
  <c r="I24" i="11"/>
  <c r="I25" i="11" s="1"/>
  <c r="H24" i="11"/>
  <c r="H25" i="11" s="1"/>
  <c r="G24" i="11"/>
  <c r="G25" i="11" s="1"/>
  <c r="F24" i="11"/>
  <c r="E24" i="11"/>
  <c r="E25" i="11" s="1"/>
  <c r="D24" i="11"/>
  <c r="C24" i="11"/>
  <c r="N22" i="11"/>
  <c r="H22" i="11"/>
  <c r="G22" i="11"/>
  <c r="F22" i="11"/>
  <c r="F28" i="2" s="1"/>
  <c r="E22" i="11"/>
  <c r="N21" i="11"/>
  <c r="M21" i="11"/>
  <c r="M22" i="11" s="1"/>
  <c r="L21" i="11"/>
  <c r="L22" i="11" s="1"/>
  <c r="K21" i="11"/>
  <c r="K22" i="11" s="1"/>
  <c r="J21" i="11"/>
  <c r="J22" i="11" s="1"/>
  <c r="I21" i="11"/>
  <c r="I22" i="11" s="1"/>
  <c r="H21" i="11"/>
  <c r="G21" i="11"/>
  <c r="F21" i="11"/>
  <c r="E21" i="11"/>
  <c r="D21" i="11"/>
  <c r="D22" i="11" s="1"/>
  <c r="C21" i="11"/>
  <c r="J19" i="11"/>
  <c r="J24" i="2" s="1"/>
  <c r="H19" i="11"/>
  <c r="G19" i="11"/>
  <c r="N18" i="11"/>
  <c r="N19" i="11" s="1"/>
  <c r="M18" i="11"/>
  <c r="M19" i="11" s="1"/>
  <c r="L18" i="11"/>
  <c r="L19" i="11" s="1"/>
  <c r="L24" i="2" s="1"/>
  <c r="K18" i="11"/>
  <c r="K19" i="11" s="1"/>
  <c r="J18" i="11"/>
  <c r="I18" i="11"/>
  <c r="I19" i="11" s="1"/>
  <c r="H18" i="11"/>
  <c r="G18" i="11"/>
  <c r="F18" i="11"/>
  <c r="F19" i="11" s="1"/>
  <c r="E18" i="11"/>
  <c r="E19" i="11" s="1"/>
  <c r="D18" i="11"/>
  <c r="C18" i="11"/>
  <c r="C19" i="11" s="1"/>
  <c r="L16" i="11"/>
  <c r="J16" i="11"/>
  <c r="F16" i="11"/>
  <c r="D16" i="11"/>
  <c r="N15" i="11"/>
  <c r="N16" i="11" s="1"/>
  <c r="M15" i="11"/>
  <c r="M16" i="11" s="1"/>
  <c r="L15" i="11"/>
  <c r="K15" i="11"/>
  <c r="J15" i="11"/>
  <c r="I15" i="11"/>
  <c r="I16" i="11" s="1"/>
  <c r="H15" i="11"/>
  <c r="H16" i="11" s="1"/>
  <c r="G15" i="11"/>
  <c r="G16" i="11" s="1"/>
  <c r="F15" i="11"/>
  <c r="E15" i="11"/>
  <c r="E16" i="11" s="1"/>
  <c r="D15" i="11"/>
  <c r="C15" i="11"/>
  <c r="N13" i="11"/>
  <c r="M13" i="11"/>
  <c r="L13" i="11"/>
  <c r="F13" i="11"/>
  <c r="E13" i="11"/>
  <c r="D13" i="11"/>
  <c r="C13" i="11"/>
  <c r="N12" i="11"/>
  <c r="M12" i="11"/>
  <c r="L12" i="11"/>
  <c r="K12" i="11"/>
  <c r="K13" i="11" s="1"/>
  <c r="J12" i="11"/>
  <c r="J13" i="11" s="1"/>
  <c r="I12" i="11"/>
  <c r="I13" i="11" s="1"/>
  <c r="H12" i="11"/>
  <c r="G12" i="11"/>
  <c r="G13" i="11" s="1"/>
  <c r="F12" i="11"/>
  <c r="E12" i="11"/>
  <c r="D12" i="11"/>
  <c r="C12" i="11"/>
  <c r="N10" i="11"/>
  <c r="M10" i="11"/>
  <c r="J10" i="11"/>
  <c r="H10" i="11"/>
  <c r="H12" i="2" s="1"/>
  <c r="G10" i="11"/>
  <c r="F10" i="11"/>
  <c r="E10" i="11"/>
  <c r="N9" i="11"/>
  <c r="M9" i="11"/>
  <c r="L9" i="11"/>
  <c r="L10" i="11" s="1"/>
  <c r="K9" i="11"/>
  <c r="K10" i="11" s="1"/>
  <c r="J9" i="11"/>
  <c r="I9" i="11"/>
  <c r="I10" i="11" s="1"/>
  <c r="H9" i="11"/>
  <c r="G9" i="11"/>
  <c r="F9" i="11"/>
  <c r="E9" i="11"/>
  <c r="D9" i="11"/>
  <c r="D10" i="11" s="1"/>
  <c r="C9" i="11"/>
  <c r="J7" i="11"/>
  <c r="H7" i="11"/>
  <c r="N6" i="11"/>
  <c r="M6" i="11"/>
  <c r="M7" i="11" s="1"/>
  <c r="L6" i="11"/>
  <c r="K6" i="11"/>
  <c r="K7" i="11" s="1"/>
  <c r="J6" i="11"/>
  <c r="I6" i="11"/>
  <c r="I7" i="11" s="1"/>
  <c r="H6" i="11"/>
  <c r="G6" i="11"/>
  <c r="F6" i="11"/>
  <c r="E6" i="11"/>
  <c r="E7" i="11" s="1"/>
  <c r="D6" i="11"/>
  <c r="C6" i="11"/>
  <c r="C7" i="11" s="1"/>
  <c r="E3" i="11"/>
  <c r="D3" i="11"/>
  <c r="N2" i="11"/>
  <c r="M2" i="11"/>
  <c r="L2" i="11"/>
  <c r="K2" i="11"/>
  <c r="J2" i="11"/>
  <c r="I2" i="11"/>
  <c r="H2" i="11"/>
  <c r="G2" i="11"/>
  <c r="F2" i="11"/>
  <c r="E2" i="11"/>
  <c r="D2" i="11"/>
  <c r="C2" i="11"/>
  <c r="G135" i="10"/>
  <c r="E135" i="7" s="1"/>
  <c r="G132" i="10"/>
  <c r="E132" i="7" s="1"/>
  <c r="E132" i="10"/>
  <c r="G131" i="10"/>
  <c r="E131" i="7" s="1"/>
  <c r="G130" i="10"/>
  <c r="G129" i="10"/>
  <c r="G128" i="10"/>
  <c r="G127" i="10"/>
  <c r="E123" i="10"/>
  <c r="G123" i="10" s="1"/>
  <c r="E123" i="7" s="1"/>
  <c r="G119" i="10"/>
  <c r="E119" i="7" s="1"/>
  <c r="G118" i="10"/>
  <c r="E118" i="7" s="1"/>
  <c r="G117" i="10"/>
  <c r="G116" i="10"/>
  <c r="E116" i="7" s="1"/>
  <c r="G115" i="10"/>
  <c r="E111" i="10"/>
  <c r="G111" i="10" s="1"/>
  <c r="E111" i="7" s="1"/>
  <c r="E110" i="10"/>
  <c r="G110" i="10" s="1"/>
  <c r="E110" i="7" s="1"/>
  <c r="G109" i="10"/>
  <c r="E109" i="10"/>
  <c r="G108" i="10"/>
  <c r="E108" i="7" s="1"/>
  <c r="E108" i="10"/>
  <c r="E107" i="10"/>
  <c r="G107" i="10" s="1"/>
  <c r="E107" i="7" s="1"/>
  <c r="G106" i="10"/>
  <c r="G105" i="10"/>
  <c r="E105" i="7" s="1"/>
  <c r="E105" i="10"/>
  <c r="G104" i="10"/>
  <c r="E104" i="10"/>
  <c r="G103" i="10"/>
  <c r="E103" i="10"/>
  <c r="E98" i="10"/>
  <c r="G98" i="10" s="1"/>
  <c r="E98" i="7" s="1"/>
  <c r="G95" i="10"/>
  <c r="G94" i="10"/>
  <c r="G93" i="10"/>
  <c r="G92" i="10"/>
  <c r="E92" i="7" s="1"/>
  <c r="E140" i="7" s="1"/>
  <c r="G91" i="10"/>
  <c r="E84" i="10"/>
  <c r="G84" i="10" s="1"/>
  <c r="G83" i="10"/>
  <c r="G82" i="10"/>
  <c r="G81" i="10"/>
  <c r="G80" i="10"/>
  <c r="E80" i="7" s="1"/>
  <c r="G79" i="10"/>
  <c r="G71" i="10"/>
  <c r="G70" i="10"/>
  <c r="G69" i="10"/>
  <c r="E69" i="7" s="1"/>
  <c r="G68" i="10"/>
  <c r="G67" i="10"/>
  <c r="E63" i="10"/>
  <c r="G63" i="10" s="1"/>
  <c r="E63" i="7" s="1"/>
  <c r="G59" i="10"/>
  <c r="G58" i="10"/>
  <c r="G57" i="10"/>
  <c r="G56" i="10"/>
  <c r="E56" i="7" s="1"/>
  <c r="G55" i="10"/>
  <c r="G51" i="10"/>
  <c r="E51" i="7" s="1"/>
  <c r="F51" i="7" s="1"/>
  <c r="E51" i="10"/>
  <c r="G50" i="10"/>
  <c r="E50" i="10"/>
  <c r="G49" i="10"/>
  <c r="E49" i="10"/>
  <c r="G48" i="10"/>
  <c r="E48" i="7" s="1"/>
  <c r="E48" i="10"/>
  <c r="G47" i="10"/>
  <c r="E47" i="7" s="1"/>
  <c r="E47" i="10"/>
  <c r="G46" i="10"/>
  <c r="E45" i="10"/>
  <c r="G45" i="10" s="1"/>
  <c r="E44" i="10"/>
  <c r="G44" i="10" s="1"/>
  <c r="E43" i="10"/>
  <c r="G43" i="10" s="1"/>
  <c r="G39" i="10"/>
  <c r="E39" i="10"/>
  <c r="E135" i="10" s="1"/>
  <c r="E38" i="10"/>
  <c r="E37" i="10"/>
  <c r="E61" i="10" s="1"/>
  <c r="G61" i="10" s="1"/>
  <c r="E61" i="7" s="1"/>
  <c r="G36" i="10"/>
  <c r="E36" i="7" s="1"/>
  <c r="E36" i="10"/>
  <c r="G35" i="10"/>
  <c r="E35" i="10"/>
  <c r="G34" i="10"/>
  <c r="G33" i="10"/>
  <c r="E33" i="7" s="1"/>
  <c r="E33" i="10"/>
  <c r="G32" i="10"/>
  <c r="E32" i="7" s="1"/>
  <c r="E32" i="10"/>
  <c r="G31" i="10"/>
  <c r="E31" i="10"/>
  <c r="G27" i="10"/>
  <c r="E27" i="10"/>
  <c r="G24" i="10"/>
  <c r="E24" i="7" s="1"/>
  <c r="E24" i="10"/>
  <c r="G23" i="10"/>
  <c r="E23" i="10"/>
  <c r="G22" i="10"/>
  <c r="G21" i="10"/>
  <c r="E21" i="10"/>
  <c r="E20" i="10"/>
  <c r="G20" i="10" s="1"/>
  <c r="E19" i="10"/>
  <c r="G19" i="10" s="1"/>
  <c r="E19" i="7" s="1"/>
  <c r="G15" i="10"/>
  <c r="E15" i="7" s="1"/>
  <c r="E15" i="10"/>
  <c r="G14" i="10"/>
  <c r="E14" i="7" s="1"/>
  <c r="E14" i="10"/>
  <c r="E13" i="10"/>
  <c r="G13" i="10" s="1"/>
  <c r="E12" i="10"/>
  <c r="G12" i="10" s="1"/>
  <c r="E11" i="10"/>
  <c r="G11" i="10" s="1"/>
  <c r="E11" i="7" s="1"/>
  <c r="G10" i="10"/>
  <c r="G9" i="10"/>
  <c r="G8" i="10"/>
  <c r="G7" i="10"/>
  <c r="D21" i="9"/>
  <c r="F21" i="9" s="1"/>
  <c r="H21" i="9" s="1"/>
  <c r="F20" i="9"/>
  <c r="H20" i="9" s="1"/>
  <c r="D20" i="9"/>
  <c r="F19" i="9"/>
  <c r="H19" i="9" s="1"/>
  <c r="D19" i="9"/>
  <c r="D18" i="9"/>
  <c r="F18" i="9" s="1"/>
  <c r="H18" i="9" s="1"/>
  <c r="H17" i="9"/>
  <c r="F17" i="9"/>
  <c r="F16" i="9"/>
  <c r="H16" i="9" s="1"/>
  <c r="F15" i="9"/>
  <c r="H15" i="9" s="1"/>
  <c r="H14" i="9"/>
  <c r="F14" i="9"/>
  <c r="H13" i="9"/>
  <c r="F13" i="9"/>
  <c r="F12" i="9"/>
  <c r="H12" i="9" s="1"/>
  <c r="D12" i="9"/>
  <c r="F11" i="9"/>
  <c r="H11" i="9" s="1"/>
  <c r="D50" i="7" s="1"/>
  <c r="D11" i="9"/>
  <c r="H10" i="9"/>
  <c r="D85" i="7" s="1"/>
  <c r="F10" i="9"/>
  <c r="D10" i="9"/>
  <c r="D9" i="9"/>
  <c r="F9" i="9" s="1"/>
  <c r="H9" i="9" s="1"/>
  <c r="H8" i="9"/>
  <c r="D11" i="7" s="1"/>
  <c r="F8" i="9"/>
  <c r="H7" i="9"/>
  <c r="D130" i="7" s="1"/>
  <c r="F7" i="9"/>
  <c r="F6" i="9"/>
  <c r="H6" i="9" s="1"/>
  <c r="F5" i="9"/>
  <c r="H5" i="9" s="1"/>
  <c r="F4" i="9"/>
  <c r="H4" i="9" s="1"/>
  <c r="G135" i="8"/>
  <c r="C135" i="7" s="1"/>
  <c r="G134" i="8"/>
  <c r="G133" i="8"/>
  <c r="G132" i="8"/>
  <c r="G131" i="8"/>
  <c r="G130" i="8"/>
  <c r="C130" i="7" s="1"/>
  <c r="F130" i="7" s="1"/>
  <c r="G129" i="8"/>
  <c r="G128" i="8"/>
  <c r="G127" i="8"/>
  <c r="C127" i="7" s="1"/>
  <c r="G126" i="8"/>
  <c r="G123" i="8"/>
  <c r="C123" i="7" s="1"/>
  <c r="G122" i="8"/>
  <c r="C122" i="7" s="1"/>
  <c r="G121" i="8"/>
  <c r="G120" i="8"/>
  <c r="G119" i="8"/>
  <c r="G118" i="8"/>
  <c r="C118" i="7" s="1"/>
  <c r="G117" i="8"/>
  <c r="G116" i="8"/>
  <c r="G115" i="8"/>
  <c r="C115" i="7" s="1"/>
  <c r="G114" i="8"/>
  <c r="G111" i="8"/>
  <c r="G110" i="8"/>
  <c r="C110" i="7" s="1"/>
  <c r="G109" i="8"/>
  <c r="G108" i="8"/>
  <c r="G107" i="8"/>
  <c r="G106" i="8"/>
  <c r="G105" i="8"/>
  <c r="G104" i="8"/>
  <c r="G103" i="8"/>
  <c r="G102" i="8"/>
  <c r="C102" i="7" s="1"/>
  <c r="F102" i="7" s="1"/>
  <c r="G102" i="7" s="1"/>
  <c r="G99" i="8"/>
  <c r="G98" i="8"/>
  <c r="G97" i="8"/>
  <c r="G96" i="8"/>
  <c r="C96" i="7" s="1"/>
  <c r="G95" i="8"/>
  <c r="G94" i="8"/>
  <c r="C94" i="7" s="1"/>
  <c r="G93" i="8"/>
  <c r="C93" i="7" s="1"/>
  <c r="G92" i="8"/>
  <c r="G91" i="8"/>
  <c r="G90" i="8"/>
  <c r="G87" i="8"/>
  <c r="G86" i="8"/>
  <c r="G85" i="8"/>
  <c r="G84" i="8"/>
  <c r="C84" i="7" s="1"/>
  <c r="G83" i="8"/>
  <c r="G82" i="8"/>
  <c r="G81" i="8"/>
  <c r="G80" i="8"/>
  <c r="C80" i="7" s="1"/>
  <c r="G79" i="8"/>
  <c r="G78" i="8"/>
  <c r="G75" i="8"/>
  <c r="G74" i="8"/>
  <c r="G73" i="8"/>
  <c r="C73" i="7" s="1"/>
  <c r="G72" i="8"/>
  <c r="G71" i="8"/>
  <c r="G70" i="8"/>
  <c r="G69" i="8"/>
  <c r="G68" i="8"/>
  <c r="C68" i="7" s="1"/>
  <c r="G67" i="8"/>
  <c r="G66" i="8"/>
  <c r="G63" i="8"/>
  <c r="G62" i="8"/>
  <c r="G61" i="8"/>
  <c r="G60" i="8"/>
  <c r="G59" i="8"/>
  <c r="G58" i="8"/>
  <c r="G57" i="8"/>
  <c r="G56" i="8"/>
  <c r="G55" i="8"/>
  <c r="G54" i="8"/>
  <c r="F53" i="8"/>
  <c r="G51" i="8"/>
  <c r="G50" i="8"/>
  <c r="G49" i="8"/>
  <c r="G48" i="8"/>
  <c r="C48" i="7" s="1"/>
  <c r="G47" i="8"/>
  <c r="G46" i="8"/>
  <c r="G45" i="8"/>
  <c r="G44" i="8"/>
  <c r="G43" i="8"/>
  <c r="G42" i="8"/>
  <c r="C42" i="7" s="1"/>
  <c r="F42" i="7" s="1"/>
  <c r="G42" i="7" s="1"/>
  <c r="F41" i="8"/>
  <c r="G41" i="8" s="1"/>
  <c r="C41" i="7" s="1"/>
  <c r="G39" i="8"/>
  <c r="G38" i="8"/>
  <c r="G37" i="8"/>
  <c r="G36" i="8"/>
  <c r="G35" i="8"/>
  <c r="G34" i="8"/>
  <c r="G33" i="8"/>
  <c r="G32" i="8"/>
  <c r="G31" i="8"/>
  <c r="G30" i="8"/>
  <c r="F29" i="8"/>
  <c r="G29" i="8" s="1"/>
  <c r="F28" i="8"/>
  <c r="G27" i="8"/>
  <c r="C27" i="7" s="1"/>
  <c r="G26" i="8"/>
  <c r="C26" i="7" s="1"/>
  <c r="G25" i="8"/>
  <c r="G24" i="8"/>
  <c r="G23" i="8"/>
  <c r="G22" i="8"/>
  <c r="G21" i="8"/>
  <c r="G20" i="8"/>
  <c r="C20" i="7" s="1"/>
  <c r="G19" i="8"/>
  <c r="G18" i="8"/>
  <c r="G17" i="8"/>
  <c r="F17" i="8"/>
  <c r="F16" i="8"/>
  <c r="G16" i="8" s="1"/>
  <c r="E16" i="8"/>
  <c r="G15" i="8"/>
  <c r="G14" i="8"/>
  <c r="G13" i="8"/>
  <c r="G12" i="8"/>
  <c r="G11" i="8"/>
  <c r="G10" i="8"/>
  <c r="G9" i="8"/>
  <c r="G8" i="8"/>
  <c r="J7" i="8"/>
  <c r="G7" i="8"/>
  <c r="C7" i="7" s="1"/>
  <c r="J6" i="8"/>
  <c r="G6" i="8"/>
  <c r="J5" i="8"/>
  <c r="G5" i="8"/>
  <c r="G4" i="8"/>
  <c r="E4" i="8"/>
  <c r="C142" i="7"/>
  <c r="E138" i="7"/>
  <c r="D138" i="7"/>
  <c r="D137" i="7"/>
  <c r="D136" i="7"/>
  <c r="D134" i="7"/>
  <c r="C134" i="7"/>
  <c r="C133" i="7"/>
  <c r="C132" i="7"/>
  <c r="C131" i="7"/>
  <c r="E130" i="7"/>
  <c r="E129" i="7"/>
  <c r="D129" i="7"/>
  <c r="C129" i="7"/>
  <c r="E128" i="7"/>
  <c r="C128" i="7"/>
  <c r="E127" i="7"/>
  <c r="E126" i="7"/>
  <c r="F126" i="7" s="1"/>
  <c r="G126" i="7" s="1"/>
  <c r="C126" i="7"/>
  <c r="E125" i="7"/>
  <c r="E124" i="7"/>
  <c r="D122" i="7"/>
  <c r="C121" i="7"/>
  <c r="D120" i="7"/>
  <c r="C120" i="7"/>
  <c r="C119" i="7"/>
  <c r="E117" i="7"/>
  <c r="D117" i="7"/>
  <c r="C117" i="7"/>
  <c r="C116" i="7"/>
  <c r="E115" i="7"/>
  <c r="F114" i="7"/>
  <c r="G114" i="7" s="1"/>
  <c r="E114" i="7"/>
  <c r="C114" i="7"/>
  <c r="E113" i="7"/>
  <c r="E112" i="7"/>
  <c r="C111" i="7"/>
  <c r="B111" i="7"/>
  <c r="B123" i="7" s="1"/>
  <c r="B135" i="7" s="1"/>
  <c r="B147" i="7" s="1"/>
  <c r="E109" i="7"/>
  <c r="C109" i="7"/>
  <c r="C108" i="7"/>
  <c r="C107" i="7"/>
  <c r="E106" i="7"/>
  <c r="C106" i="7"/>
  <c r="C105" i="7"/>
  <c r="E104" i="7"/>
  <c r="C104" i="7"/>
  <c r="B104" i="7"/>
  <c r="B116" i="7" s="1"/>
  <c r="B128" i="7" s="1"/>
  <c r="B140" i="7" s="1"/>
  <c r="E103" i="7"/>
  <c r="C103" i="7"/>
  <c r="E102" i="7"/>
  <c r="E101" i="7"/>
  <c r="E100" i="7"/>
  <c r="B100" i="7"/>
  <c r="B112" i="7" s="1"/>
  <c r="B124" i="7" s="1"/>
  <c r="B136" i="7" s="1"/>
  <c r="C99" i="7"/>
  <c r="D98" i="7"/>
  <c r="C98" i="7"/>
  <c r="C97" i="7"/>
  <c r="B97" i="7"/>
  <c r="B109" i="7" s="1"/>
  <c r="B121" i="7" s="1"/>
  <c r="B133" i="7" s="1"/>
  <c r="B145" i="7" s="1"/>
  <c r="E95" i="7"/>
  <c r="D95" i="7"/>
  <c r="C95" i="7"/>
  <c r="F95" i="7" s="1"/>
  <c r="E94" i="7"/>
  <c r="B94" i="7"/>
  <c r="B106" i="7" s="1"/>
  <c r="B118" i="7" s="1"/>
  <c r="B130" i="7" s="1"/>
  <c r="B142" i="7" s="1"/>
  <c r="E93" i="7"/>
  <c r="C92" i="7"/>
  <c r="E91" i="7"/>
  <c r="C91" i="7"/>
  <c r="F90" i="7"/>
  <c r="G90" i="7" s="1"/>
  <c r="E90" i="7"/>
  <c r="C90" i="7"/>
  <c r="E89" i="7"/>
  <c r="E88" i="7"/>
  <c r="D87" i="7"/>
  <c r="C87" i="7"/>
  <c r="C86" i="7"/>
  <c r="C85" i="7"/>
  <c r="E84" i="7"/>
  <c r="E83" i="7"/>
  <c r="D83" i="7"/>
  <c r="F83" i="7" s="1"/>
  <c r="C83" i="7"/>
  <c r="E82" i="7"/>
  <c r="C82" i="7"/>
  <c r="E81" i="7"/>
  <c r="C81" i="7"/>
  <c r="E79" i="7"/>
  <c r="C79" i="7"/>
  <c r="E78" i="7"/>
  <c r="C78" i="7"/>
  <c r="F78" i="7" s="1"/>
  <c r="G78" i="7" s="1"/>
  <c r="E77" i="7"/>
  <c r="E76" i="7"/>
  <c r="D75" i="7"/>
  <c r="C75" i="7"/>
  <c r="C74" i="7"/>
  <c r="D73" i="7"/>
  <c r="D72" i="7"/>
  <c r="C72" i="7"/>
  <c r="E71" i="7"/>
  <c r="D71" i="7"/>
  <c r="F71" i="7" s="1"/>
  <c r="C71" i="7"/>
  <c r="B71" i="7"/>
  <c r="B83" i="7" s="1"/>
  <c r="B95" i="7" s="1"/>
  <c r="B107" i="7" s="1"/>
  <c r="B119" i="7" s="1"/>
  <c r="B131" i="7" s="1"/>
  <c r="B143" i="7" s="1"/>
  <c r="E70" i="7"/>
  <c r="C70" i="7"/>
  <c r="D69" i="7"/>
  <c r="C69" i="7"/>
  <c r="E68" i="7"/>
  <c r="E67" i="7"/>
  <c r="D67" i="7"/>
  <c r="F67" i="7" s="1"/>
  <c r="G67" i="7" s="1"/>
  <c r="C67" i="7"/>
  <c r="F66" i="7"/>
  <c r="G66" i="7" s="1"/>
  <c r="E66" i="7"/>
  <c r="C66" i="7"/>
  <c r="E65" i="7"/>
  <c r="E64" i="7"/>
  <c r="F63" i="7"/>
  <c r="D63" i="7"/>
  <c r="C63" i="7"/>
  <c r="D62" i="7"/>
  <c r="C62" i="7"/>
  <c r="C61" i="7"/>
  <c r="C60" i="7"/>
  <c r="E59" i="7"/>
  <c r="D59" i="7"/>
  <c r="F59" i="7" s="1"/>
  <c r="C59" i="7"/>
  <c r="E58" i="7"/>
  <c r="C58" i="7"/>
  <c r="E57" i="7"/>
  <c r="D57" i="7"/>
  <c r="C57" i="7"/>
  <c r="C56" i="7"/>
  <c r="E55" i="7"/>
  <c r="C55" i="7"/>
  <c r="E54" i="7"/>
  <c r="C54" i="7"/>
  <c r="F54" i="7" s="1"/>
  <c r="G54" i="7" s="1"/>
  <c r="E53" i="7"/>
  <c r="E52" i="7"/>
  <c r="B52" i="7"/>
  <c r="B64" i="7" s="1"/>
  <c r="B76" i="7" s="1"/>
  <c r="B88" i="7" s="1"/>
  <c r="D51" i="7"/>
  <c r="C51" i="7"/>
  <c r="E50" i="7"/>
  <c r="F50" i="7" s="1"/>
  <c r="C50" i="7"/>
  <c r="E49" i="7"/>
  <c r="C49" i="7"/>
  <c r="F47" i="7"/>
  <c r="D47" i="7"/>
  <c r="C47" i="7"/>
  <c r="E46" i="7"/>
  <c r="D46" i="7"/>
  <c r="C46" i="7"/>
  <c r="B46" i="7"/>
  <c r="B58" i="7" s="1"/>
  <c r="B70" i="7" s="1"/>
  <c r="B82" i="7" s="1"/>
  <c r="E45" i="7"/>
  <c r="C45" i="7"/>
  <c r="E44" i="7"/>
  <c r="D44" i="7"/>
  <c r="F44" i="7" s="1"/>
  <c r="C44" i="7"/>
  <c r="E43" i="7"/>
  <c r="C43" i="7"/>
  <c r="B43" i="7"/>
  <c r="B55" i="7" s="1"/>
  <c r="B67" i="7" s="1"/>
  <c r="B79" i="7" s="1"/>
  <c r="B91" i="7" s="1"/>
  <c r="B103" i="7" s="1"/>
  <c r="B115" i="7" s="1"/>
  <c r="B127" i="7" s="1"/>
  <c r="B139" i="7" s="1"/>
  <c r="E42" i="7"/>
  <c r="B42" i="7"/>
  <c r="B54" i="7" s="1"/>
  <c r="B66" i="7" s="1"/>
  <c r="B78" i="7" s="1"/>
  <c r="B90" i="7" s="1"/>
  <c r="B102" i="7" s="1"/>
  <c r="B114" i="7" s="1"/>
  <c r="B126" i="7" s="1"/>
  <c r="B138" i="7" s="1"/>
  <c r="E41" i="7"/>
  <c r="E40" i="7"/>
  <c r="E39" i="7"/>
  <c r="C39" i="7"/>
  <c r="B39" i="7"/>
  <c r="B51" i="7" s="1"/>
  <c r="B63" i="7" s="1"/>
  <c r="B75" i="7" s="1"/>
  <c r="B87" i="7" s="1"/>
  <c r="B99" i="7" s="1"/>
  <c r="D38" i="7"/>
  <c r="C38" i="7"/>
  <c r="D37" i="7"/>
  <c r="C37" i="7"/>
  <c r="D36" i="7"/>
  <c r="C36" i="7"/>
  <c r="E35" i="7"/>
  <c r="C35" i="7"/>
  <c r="E34" i="7"/>
  <c r="C34" i="7"/>
  <c r="D33" i="7"/>
  <c r="C33" i="7"/>
  <c r="F33" i="7" s="1"/>
  <c r="B33" i="7"/>
  <c r="B45" i="7" s="1"/>
  <c r="B57" i="7" s="1"/>
  <c r="B69" i="7" s="1"/>
  <c r="B81" i="7" s="1"/>
  <c r="B93" i="7" s="1"/>
  <c r="B105" i="7" s="1"/>
  <c r="B117" i="7" s="1"/>
  <c r="B129" i="7" s="1"/>
  <c r="B141" i="7" s="1"/>
  <c r="C32" i="7"/>
  <c r="E31" i="7"/>
  <c r="C31" i="7"/>
  <c r="E30" i="7"/>
  <c r="C30" i="7"/>
  <c r="F30" i="7" s="1"/>
  <c r="G30" i="7" s="1"/>
  <c r="B30" i="7"/>
  <c r="E29" i="7"/>
  <c r="C29" i="7"/>
  <c r="E28" i="7"/>
  <c r="E27" i="7"/>
  <c r="D27" i="7"/>
  <c r="B27" i="7"/>
  <c r="E26" i="7"/>
  <c r="B26" i="7"/>
  <c r="B38" i="7" s="1"/>
  <c r="B50" i="7" s="1"/>
  <c r="B62" i="7" s="1"/>
  <c r="B74" i="7" s="1"/>
  <c r="B86" i="7" s="1"/>
  <c r="B98" i="7" s="1"/>
  <c r="B110" i="7" s="1"/>
  <c r="B122" i="7" s="1"/>
  <c r="B134" i="7" s="1"/>
  <c r="B146" i="7" s="1"/>
  <c r="E25" i="7"/>
  <c r="D25" i="7"/>
  <c r="F25" i="7" s="1"/>
  <c r="C25" i="7"/>
  <c r="B25" i="7"/>
  <c r="B37" i="7" s="1"/>
  <c r="B49" i="7" s="1"/>
  <c r="B61" i="7" s="1"/>
  <c r="B73" i="7" s="1"/>
  <c r="B85" i="7" s="1"/>
  <c r="C24" i="7"/>
  <c r="B24" i="7"/>
  <c r="B36" i="7" s="1"/>
  <c r="B48" i="7" s="1"/>
  <c r="B60" i="7" s="1"/>
  <c r="B72" i="7" s="1"/>
  <c r="B84" i="7" s="1"/>
  <c r="B96" i="7" s="1"/>
  <c r="B108" i="7" s="1"/>
  <c r="B120" i="7" s="1"/>
  <c r="B132" i="7" s="1"/>
  <c r="B144" i="7" s="1"/>
  <c r="F23" i="7"/>
  <c r="E23" i="7"/>
  <c r="D23" i="7"/>
  <c r="C23" i="7"/>
  <c r="B23" i="7"/>
  <c r="B35" i="7" s="1"/>
  <c r="B47" i="7" s="1"/>
  <c r="B59" i="7" s="1"/>
  <c r="E22" i="7"/>
  <c r="D22" i="7"/>
  <c r="C22" i="7"/>
  <c r="F22" i="7" s="1"/>
  <c r="B22" i="7"/>
  <c r="B34" i="7" s="1"/>
  <c r="E21" i="7"/>
  <c r="D21" i="7"/>
  <c r="F21" i="7" s="1"/>
  <c r="C21" i="7"/>
  <c r="B21" i="7"/>
  <c r="E20" i="7"/>
  <c r="B20" i="7"/>
  <c r="B32" i="7" s="1"/>
  <c r="B44" i="7" s="1"/>
  <c r="B56" i="7" s="1"/>
  <c r="B68" i="7" s="1"/>
  <c r="B80" i="7" s="1"/>
  <c r="B92" i="7" s="1"/>
  <c r="F19" i="7"/>
  <c r="G19" i="7" s="1"/>
  <c r="D19" i="7"/>
  <c r="C19" i="7"/>
  <c r="B19" i="7"/>
  <c r="B31" i="7" s="1"/>
  <c r="F18" i="7"/>
  <c r="G18" i="7" s="1"/>
  <c r="E18" i="7"/>
  <c r="C18" i="7"/>
  <c r="B18" i="7"/>
  <c r="E17" i="7"/>
  <c r="C17" i="7"/>
  <c r="B17" i="7"/>
  <c r="B29" i="7" s="1"/>
  <c r="B41" i="7" s="1"/>
  <c r="B53" i="7" s="1"/>
  <c r="B65" i="7" s="1"/>
  <c r="B77" i="7" s="1"/>
  <c r="B89" i="7" s="1"/>
  <c r="B101" i="7" s="1"/>
  <c r="B113" i="7" s="1"/>
  <c r="B125" i="7" s="1"/>
  <c r="B137" i="7" s="1"/>
  <c r="E16" i="7"/>
  <c r="C16" i="7"/>
  <c r="B16" i="7"/>
  <c r="B28" i="7" s="1"/>
  <c r="B40" i="7" s="1"/>
  <c r="F15" i="7"/>
  <c r="D15" i="7"/>
  <c r="C15" i="7"/>
  <c r="D14" i="7"/>
  <c r="C14" i="7"/>
  <c r="E13" i="7"/>
  <c r="C13" i="7"/>
  <c r="E12" i="7"/>
  <c r="D12" i="7"/>
  <c r="C12" i="7"/>
  <c r="C11" i="7"/>
  <c r="E10" i="7"/>
  <c r="C10" i="7"/>
  <c r="E9" i="7"/>
  <c r="D9" i="7"/>
  <c r="C9" i="7"/>
  <c r="E8" i="7"/>
  <c r="D8" i="7"/>
  <c r="F8" i="7" s="1"/>
  <c r="C8" i="7"/>
  <c r="E7" i="7"/>
  <c r="D7" i="7"/>
  <c r="E6" i="7"/>
  <c r="C6" i="7"/>
  <c r="E5" i="7"/>
  <c r="C5" i="7"/>
  <c r="E4" i="7"/>
  <c r="C4" i="7"/>
  <c r="M54" i="5"/>
  <c r="J54" i="5"/>
  <c r="H54" i="5"/>
  <c r="H63" i="2" s="1"/>
  <c r="G54" i="5"/>
  <c r="E54" i="5"/>
  <c r="O53" i="5"/>
  <c r="M51" i="5"/>
  <c r="M58" i="2" s="1"/>
  <c r="E51" i="5"/>
  <c r="O50" i="5"/>
  <c r="N48" i="5"/>
  <c r="N53" i="2" s="1"/>
  <c r="I48" i="5"/>
  <c r="O47" i="5"/>
  <c r="M45" i="5"/>
  <c r="J45" i="5"/>
  <c r="J48" i="2" s="1"/>
  <c r="H45" i="5"/>
  <c r="H48" i="2" s="1"/>
  <c r="G45" i="5"/>
  <c r="G48" i="2" s="1"/>
  <c r="E45" i="5"/>
  <c r="D45" i="5"/>
  <c r="D48" i="2" s="1"/>
  <c r="O44" i="5"/>
  <c r="H42" i="5"/>
  <c r="G42" i="5"/>
  <c r="E42" i="5"/>
  <c r="N41" i="5"/>
  <c r="L41" i="5"/>
  <c r="K41" i="5"/>
  <c r="J41" i="5"/>
  <c r="J42" i="5" s="1"/>
  <c r="I41" i="5"/>
  <c r="H41" i="5"/>
  <c r="G41" i="5"/>
  <c r="F41" i="5"/>
  <c r="E41" i="5"/>
  <c r="D41" i="5"/>
  <c r="C41" i="5"/>
  <c r="H39" i="5"/>
  <c r="D39" i="5"/>
  <c r="D39" i="2" s="1"/>
  <c r="N38" i="5"/>
  <c r="M38" i="5"/>
  <c r="L38" i="5"/>
  <c r="K38" i="5"/>
  <c r="J38" i="5"/>
  <c r="I38" i="5"/>
  <c r="H38" i="5"/>
  <c r="G38" i="5"/>
  <c r="G39" i="5" s="1"/>
  <c r="G39" i="2" s="1"/>
  <c r="F38" i="5"/>
  <c r="E38" i="5"/>
  <c r="D38" i="5"/>
  <c r="C38" i="5"/>
  <c r="N36" i="5"/>
  <c r="J36" i="5"/>
  <c r="I36" i="5"/>
  <c r="O35" i="5"/>
  <c r="J32" i="5"/>
  <c r="I32" i="5"/>
  <c r="I31" i="2" s="1"/>
  <c r="H32" i="5"/>
  <c r="N31" i="5"/>
  <c r="M31" i="5"/>
  <c r="L31" i="5"/>
  <c r="K31" i="5"/>
  <c r="J31" i="5"/>
  <c r="I31" i="5"/>
  <c r="H31" i="5"/>
  <c r="G31" i="5"/>
  <c r="G32" i="5" s="1"/>
  <c r="G31" i="2" s="1"/>
  <c r="F31" i="5"/>
  <c r="E31" i="5"/>
  <c r="D31" i="5"/>
  <c r="C31" i="5"/>
  <c r="J28" i="5"/>
  <c r="N27" i="5"/>
  <c r="L27" i="5"/>
  <c r="K27" i="5"/>
  <c r="J27" i="5"/>
  <c r="I27" i="5"/>
  <c r="I56" i="5" s="1"/>
  <c r="H27" i="5"/>
  <c r="G27" i="5"/>
  <c r="F27" i="5"/>
  <c r="O27" i="5" s="1"/>
  <c r="E27" i="5"/>
  <c r="D27" i="5"/>
  <c r="C27" i="5"/>
  <c r="M24" i="5"/>
  <c r="L24" i="5"/>
  <c r="D24" i="5"/>
  <c r="N23" i="5"/>
  <c r="N56" i="5" s="1"/>
  <c r="M23" i="5"/>
  <c r="L23" i="5"/>
  <c r="K23" i="5"/>
  <c r="J23" i="5"/>
  <c r="I23" i="5"/>
  <c r="H23" i="5"/>
  <c r="H56" i="5" s="1"/>
  <c r="G23" i="5"/>
  <c r="F23" i="5"/>
  <c r="E23" i="5"/>
  <c r="E24" i="5" s="1"/>
  <c r="D23" i="5"/>
  <c r="C23" i="5"/>
  <c r="O23" i="5" s="1"/>
  <c r="M20" i="5"/>
  <c r="H20" i="5"/>
  <c r="G20" i="5"/>
  <c r="E20" i="5"/>
  <c r="N19" i="5"/>
  <c r="M19" i="5"/>
  <c r="M27" i="5" s="1"/>
  <c r="L19" i="5"/>
  <c r="K19" i="5"/>
  <c r="J19" i="5"/>
  <c r="J56" i="5" s="1"/>
  <c r="I19" i="5"/>
  <c r="H19" i="5"/>
  <c r="G19" i="5"/>
  <c r="F19" i="5"/>
  <c r="E19" i="5"/>
  <c r="D19" i="5"/>
  <c r="C19" i="5"/>
  <c r="M17" i="5"/>
  <c r="L17" i="5"/>
  <c r="H17" i="5"/>
  <c r="H15" i="2" s="1"/>
  <c r="G17" i="5"/>
  <c r="E17" i="5"/>
  <c r="D17" i="5"/>
  <c r="O16" i="5"/>
  <c r="M13" i="5"/>
  <c r="J13" i="5"/>
  <c r="G13" i="5"/>
  <c r="E13" i="5"/>
  <c r="O12" i="5"/>
  <c r="M9" i="5"/>
  <c r="J9" i="5"/>
  <c r="H9" i="5"/>
  <c r="F9" i="5"/>
  <c r="F7" i="2" s="1"/>
  <c r="E9" i="5"/>
  <c r="O8" i="5"/>
  <c r="D8" i="5"/>
  <c r="N5" i="5"/>
  <c r="M5" i="5"/>
  <c r="M48" i="5" s="1"/>
  <c r="L5" i="5"/>
  <c r="K5" i="5"/>
  <c r="J5" i="5"/>
  <c r="J48" i="5" s="1"/>
  <c r="I5" i="5"/>
  <c r="I45" i="5" s="1"/>
  <c r="H5" i="5"/>
  <c r="G5" i="5"/>
  <c r="G48" i="5" s="1"/>
  <c r="F5" i="5"/>
  <c r="E5" i="5"/>
  <c r="E48" i="5" s="1"/>
  <c r="D5" i="5"/>
  <c r="C5" i="5"/>
  <c r="M4" i="5"/>
  <c r="L4" i="5"/>
  <c r="K4" i="5"/>
  <c r="J4" i="5"/>
  <c r="I4" i="5"/>
  <c r="H4" i="5"/>
  <c r="G4" i="5"/>
  <c r="E4" i="5"/>
  <c r="D4" i="5"/>
  <c r="N3" i="5"/>
  <c r="M3" i="5"/>
  <c r="L3" i="5"/>
  <c r="K3" i="5"/>
  <c r="J3" i="5"/>
  <c r="I3" i="5"/>
  <c r="H3" i="5"/>
  <c r="G3" i="5"/>
  <c r="F3" i="5"/>
  <c r="E3" i="5"/>
  <c r="D3" i="5"/>
  <c r="C3" i="5"/>
  <c r="I41" i="4"/>
  <c r="H41" i="4"/>
  <c r="G41" i="4"/>
  <c r="I40" i="4"/>
  <c r="L39" i="4"/>
  <c r="K39" i="4"/>
  <c r="J39" i="4"/>
  <c r="I39" i="4"/>
  <c r="H39" i="4"/>
  <c r="H40" i="4" s="1"/>
  <c r="G39" i="4"/>
  <c r="G40" i="4" s="1"/>
  <c r="N35" i="4"/>
  <c r="L32" i="4"/>
  <c r="I32" i="4"/>
  <c r="I62" i="2" s="1"/>
  <c r="H32" i="4"/>
  <c r="H62" i="2" s="1"/>
  <c r="F32" i="4"/>
  <c r="D32" i="4"/>
  <c r="N31" i="4"/>
  <c r="M31" i="4"/>
  <c r="L31" i="4"/>
  <c r="K31" i="4"/>
  <c r="J31" i="4"/>
  <c r="I31" i="4"/>
  <c r="H31" i="4"/>
  <c r="G31" i="4"/>
  <c r="G32" i="4" s="1"/>
  <c r="F31" i="4"/>
  <c r="E31" i="4"/>
  <c r="D31" i="4"/>
  <c r="C31" i="4"/>
  <c r="L29" i="4"/>
  <c r="J29" i="4"/>
  <c r="F29" i="4"/>
  <c r="D29" i="4"/>
  <c r="C29" i="4"/>
  <c r="N27" i="4"/>
  <c r="H27" i="4"/>
  <c r="H57" i="2" s="1"/>
  <c r="G27" i="4"/>
  <c r="F27" i="4"/>
  <c r="N26" i="4"/>
  <c r="M26" i="4"/>
  <c r="L26" i="4"/>
  <c r="K26" i="4"/>
  <c r="K27" i="4" s="1"/>
  <c r="K57" i="2" s="1"/>
  <c r="J26" i="4"/>
  <c r="J27" i="4" s="1"/>
  <c r="I26" i="4"/>
  <c r="H26" i="4"/>
  <c r="G26" i="4"/>
  <c r="F26" i="4"/>
  <c r="E26" i="4"/>
  <c r="C26" i="4"/>
  <c r="M24" i="4"/>
  <c r="F24" i="4"/>
  <c r="D24" i="4"/>
  <c r="C24" i="4"/>
  <c r="N22" i="4"/>
  <c r="L22" i="4"/>
  <c r="F22" i="4"/>
  <c r="D22" i="4"/>
  <c r="D52" i="2" s="1"/>
  <c r="C22" i="4"/>
  <c r="N21" i="4"/>
  <c r="M21" i="4"/>
  <c r="L21" i="4"/>
  <c r="K21" i="4"/>
  <c r="K22" i="4" s="1"/>
  <c r="J21" i="4"/>
  <c r="J22" i="4" s="1"/>
  <c r="J52" i="2" s="1"/>
  <c r="I21" i="4"/>
  <c r="H21" i="4"/>
  <c r="H22" i="4" s="1"/>
  <c r="H52" i="2" s="1"/>
  <c r="G21" i="4"/>
  <c r="F21" i="4"/>
  <c r="E21" i="4"/>
  <c r="C21" i="4"/>
  <c r="D21" i="4" s="1"/>
  <c r="M19" i="4"/>
  <c r="L19" i="4"/>
  <c r="J19" i="4"/>
  <c r="F19" i="4"/>
  <c r="E19" i="4"/>
  <c r="D19" i="4"/>
  <c r="C19" i="4"/>
  <c r="H17" i="4"/>
  <c r="E17" i="4"/>
  <c r="N16" i="4"/>
  <c r="N17" i="4" s="1"/>
  <c r="M16" i="4"/>
  <c r="L16" i="4"/>
  <c r="L17" i="4" s="1"/>
  <c r="K16" i="4"/>
  <c r="K17" i="4" s="1"/>
  <c r="K47" i="2" s="1"/>
  <c r="J16" i="4"/>
  <c r="I16" i="4"/>
  <c r="H16" i="4"/>
  <c r="G16" i="4"/>
  <c r="G17" i="4" s="1"/>
  <c r="F16" i="4"/>
  <c r="F17" i="4" s="1"/>
  <c r="E16" i="4"/>
  <c r="C16" i="4"/>
  <c r="D16" i="4" s="1"/>
  <c r="D17" i="4" s="1"/>
  <c r="L13" i="4"/>
  <c r="K13" i="4"/>
  <c r="H13" i="4"/>
  <c r="D13" i="4"/>
  <c r="C13" i="4"/>
  <c r="M12" i="4"/>
  <c r="M13" i="4" s="1"/>
  <c r="M18" i="2" s="1"/>
  <c r="L12" i="4"/>
  <c r="K12" i="4"/>
  <c r="J12" i="4"/>
  <c r="I12" i="4"/>
  <c r="G12" i="4"/>
  <c r="G13" i="4" s="1"/>
  <c r="G34" i="2" s="1"/>
  <c r="F12" i="4"/>
  <c r="F13" i="4" s="1"/>
  <c r="F42" i="2" s="1"/>
  <c r="E12" i="4"/>
  <c r="D12" i="4"/>
  <c r="C12" i="4"/>
  <c r="M9" i="4"/>
  <c r="H9" i="4"/>
  <c r="N8" i="4"/>
  <c r="N9" i="4" s="1"/>
  <c r="N42" i="2" s="1"/>
  <c r="M8" i="4"/>
  <c r="M35" i="4" s="1"/>
  <c r="L8" i="4"/>
  <c r="K8" i="4"/>
  <c r="J8" i="4"/>
  <c r="I8" i="4"/>
  <c r="H8" i="4"/>
  <c r="G8" i="4"/>
  <c r="G9" i="4" s="1"/>
  <c r="F8" i="4"/>
  <c r="F9" i="4" s="1"/>
  <c r="E8" i="4"/>
  <c r="D8" i="4"/>
  <c r="C7" i="4"/>
  <c r="C8" i="4" s="1"/>
  <c r="N5" i="4"/>
  <c r="N13" i="4" s="1"/>
  <c r="M5" i="4"/>
  <c r="M17" i="4" s="1"/>
  <c r="L5" i="4"/>
  <c r="K5" i="4"/>
  <c r="K9" i="4" s="1"/>
  <c r="K38" i="2" s="1"/>
  <c r="J5" i="4"/>
  <c r="J13" i="4" s="1"/>
  <c r="I5" i="4"/>
  <c r="H5" i="4"/>
  <c r="G5" i="4"/>
  <c r="F5" i="4"/>
  <c r="E5" i="4"/>
  <c r="E27" i="4" s="1"/>
  <c r="E57" i="2" s="1"/>
  <c r="D5" i="4"/>
  <c r="C5" i="4"/>
  <c r="P4" i="4"/>
  <c r="O4" i="4"/>
  <c r="N4" i="4"/>
  <c r="M4" i="4"/>
  <c r="M29" i="4" s="1"/>
  <c r="L4" i="4"/>
  <c r="L24" i="4" s="1"/>
  <c r="K4" i="4"/>
  <c r="J4" i="4"/>
  <c r="J24" i="4" s="1"/>
  <c r="I4" i="4"/>
  <c r="I19" i="4" s="1"/>
  <c r="H4" i="4"/>
  <c r="G4" i="4"/>
  <c r="F4" i="4"/>
  <c r="E4" i="4"/>
  <c r="E29" i="4" s="1"/>
  <c r="N3" i="4"/>
  <c r="M3" i="4"/>
  <c r="L3" i="4"/>
  <c r="K3" i="4"/>
  <c r="J3" i="4"/>
  <c r="I3" i="4"/>
  <c r="H3" i="4"/>
  <c r="G3" i="4"/>
  <c r="F3" i="4"/>
  <c r="E3" i="4"/>
  <c r="D3" i="4"/>
  <c r="C3" i="4"/>
  <c r="N47" i="3"/>
  <c r="J47" i="3"/>
  <c r="G47" i="3"/>
  <c r="F47" i="3"/>
  <c r="F13" i="2" s="1"/>
  <c r="N46" i="3"/>
  <c r="M46" i="3"/>
  <c r="L46" i="3"/>
  <c r="K46" i="3"/>
  <c r="J46" i="3"/>
  <c r="I46" i="3"/>
  <c r="I47" i="3" s="1"/>
  <c r="H46" i="3"/>
  <c r="G46" i="3"/>
  <c r="F46" i="3"/>
  <c r="E46" i="3"/>
  <c r="D46" i="3"/>
  <c r="C46" i="3"/>
  <c r="N44" i="3"/>
  <c r="N29" i="2" s="1"/>
  <c r="J44" i="3"/>
  <c r="J29" i="2" s="1"/>
  <c r="G44" i="3"/>
  <c r="F44" i="3"/>
  <c r="F29" i="2" s="1"/>
  <c r="E44" i="3"/>
  <c r="E29" i="2" s="1"/>
  <c r="N43" i="3"/>
  <c r="M43" i="3"/>
  <c r="L43" i="3"/>
  <c r="K43" i="3"/>
  <c r="J43" i="3"/>
  <c r="I43" i="3"/>
  <c r="I44" i="3" s="1"/>
  <c r="I29" i="2" s="1"/>
  <c r="H43" i="3"/>
  <c r="G43" i="3"/>
  <c r="F43" i="3"/>
  <c r="E43" i="3"/>
  <c r="D43" i="3"/>
  <c r="C43" i="3"/>
  <c r="J41" i="3"/>
  <c r="H41" i="3"/>
  <c r="G41" i="3"/>
  <c r="O40" i="3"/>
  <c r="N40" i="3"/>
  <c r="N41" i="3" s="1"/>
  <c r="N33" i="2" s="1"/>
  <c r="M40" i="3"/>
  <c r="L40" i="3"/>
  <c r="K40" i="3"/>
  <c r="J40" i="3"/>
  <c r="I40" i="3"/>
  <c r="H40" i="3"/>
  <c r="G40" i="3"/>
  <c r="F40" i="3"/>
  <c r="F41" i="3" s="1"/>
  <c r="F33" i="2" s="1"/>
  <c r="E40" i="3"/>
  <c r="D40" i="3"/>
  <c r="C40" i="3"/>
  <c r="N38" i="3"/>
  <c r="N37" i="2" s="1"/>
  <c r="F38" i="3"/>
  <c r="E38" i="3"/>
  <c r="E37" i="2" s="1"/>
  <c r="N37" i="3"/>
  <c r="M37" i="3"/>
  <c r="L37" i="3"/>
  <c r="K37" i="3"/>
  <c r="J37" i="3"/>
  <c r="J38" i="3" s="1"/>
  <c r="I37" i="3"/>
  <c r="I38" i="3" s="1"/>
  <c r="I37" i="2" s="1"/>
  <c r="H37" i="3"/>
  <c r="G37" i="3"/>
  <c r="G38" i="3" s="1"/>
  <c r="F37" i="3"/>
  <c r="E37" i="3"/>
  <c r="D37" i="3"/>
  <c r="C37" i="3"/>
  <c r="N35" i="3"/>
  <c r="N17" i="2" s="1"/>
  <c r="F35" i="3"/>
  <c r="N34" i="3"/>
  <c r="M34" i="3"/>
  <c r="L34" i="3"/>
  <c r="L35" i="3" s="1"/>
  <c r="L17" i="2" s="1"/>
  <c r="K34" i="3"/>
  <c r="J34" i="3"/>
  <c r="I34" i="3"/>
  <c r="H34" i="3"/>
  <c r="G34" i="3"/>
  <c r="G35" i="3" s="1"/>
  <c r="G17" i="2" s="1"/>
  <c r="F34" i="3"/>
  <c r="E34" i="3"/>
  <c r="D34" i="3"/>
  <c r="D35" i="3" s="1"/>
  <c r="D17" i="2" s="1"/>
  <c r="C34" i="3"/>
  <c r="G32" i="3"/>
  <c r="N31" i="3"/>
  <c r="M31" i="3"/>
  <c r="M32" i="3" s="1"/>
  <c r="M21" i="2" s="1"/>
  <c r="L31" i="3"/>
  <c r="K31" i="3"/>
  <c r="J31" i="3"/>
  <c r="J32" i="3" s="1"/>
  <c r="J21" i="2" s="1"/>
  <c r="I31" i="3"/>
  <c r="H31" i="3"/>
  <c r="G31" i="3"/>
  <c r="F31" i="3"/>
  <c r="E31" i="3"/>
  <c r="D31" i="3"/>
  <c r="C31" i="3"/>
  <c r="I29" i="3"/>
  <c r="G29" i="3"/>
  <c r="G9" i="2" s="1"/>
  <c r="F29" i="3"/>
  <c r="F9" i="2" s="1"/>
  <c r="N28" i="3"/>
  <c r="M28" i="3"/>
  <c r="M29" i="3" s="1"/>
  <c r="L28" i="3"/>
  <c r="L29" i="3" s="1"/>
  <c r="K28" i="3"/>
  <c r="J28" i="3"/>
  <c r="I28" i="3"/>
  <c r="H28" i="3"/>
  <c r="G28" i="3"/>
  <c r="F28" i="3"/>
  <c r="E28" i="3"/>
  <c r="E29" i="3" s="1"/>
  <c r="E9" i="2" s="1"/>
  <c r="D28" i="3"/>
  <c r="D29" i="3" s="1"/>
  <c r="C28" i="3"/>
  <c r="O28" i="3" s="1"/>
  <c r="N26" i="3"/>
  <c r="I26" i="3"/>
  <c r="N25" i="3"/>
  <c r="M25" i="3"/>
  <c r="L25" i="3"/>
  <c r="K25" i="3"/>
  <c r="J25" i="3"/>
  <c r="I25" i="3"/>
  <c r="H25" i="3"/>
  <c r="G25" i="3"/>
  <c r="G26" i="3" s="1"/>
  <c r="G25" i="2" s="1"/>
  <c r="F25" i="3"/>
  <c r="E25" i="3"/>
  <c r="E26" i="3" s="1"/>
  <c r="E25" i="2" s="1"/>
  <c r="D25" i="3"/>
  <c r="C25" i="3"/>
  <c r="H23" i="3"/>
  <c r="G23" i="3"/>
  <c r="F23" i="3"/>
  <c r="N22" i="3"/>
  <c r="M22" i="3"/>
  <c r="L22" i="3"/>
  <c r="K22" i="3"/>
  <c r="J22" i="3"/>
  <c r="J23" i="3" s="1"/>
  <c r="J5" i="2" s="1"/>
  <c r="I22" i="3"/>
  <c r="H22" i="3"/>
  <c r="G22" i="3"/>
  <c r="F22" i="3"/>
  <c r="E22" i="3"/>
  <c r="C22" i="3"/>
  <c r="C21" i="3"/>
  <c r="D22" i="3" s="1"/>
  <c r="I19" i="3"/>
  <c r="I41" i="2" s="1"/>
  <c r="H19" i="3"/>
  <c r="N18" i="3"/>
  <c r="N19" i="3" s="1"/>
  <c r="N41" i="2" s="1"/>
  <c r="M18" i="3"/>
  <c r="L18" i="3"/>
  <c r="K18" i="3"/>
  <c r="J18" i="3"/>
  <c r="I18" i="3"/>
  <c r="H18" i="3"/>
  <c r="G18" i="3"/>
  <c r="G19" i="3" s="1"/>
  <c r="G41" i="2" s="1"/>
  <c r="F18" i="3"/>
  <c r="F19" i="3" s="1"/>
  <c r="F41" i="2" s="1"/>
  <c r="E18" i="3"/>
  <c r="D18" i="3"/>
  <c r="C18" i="3"/>
  <c r="J16" i="3"/>
  <c r="J46" i="2" s="1"/>
  <c r="I16" i="3"/>
  <c r="I46" i="2" s="1"/>
  <c r="H16" i="3"/>
  <c r="H46" i="2" s="1"/>
  <c r="G16" i="3"/>
  <c r="N15" i="3"/>
  <c r="N16" i="3" s="1"/>
  <c r="N46" i="2" s="1"/>
  <c r="M15" i="3"/>
  <c r="M16" i="3" s="1"/>
  <c r="L15" i="3"/>
  <c r="I15" i="3"/>
  <c r="H15" i="3"/>
  <c r="G15" i="3"/>
  <c r="F15" i="3"/>
  <c r="F16" i="3" s="1"/>
  <c r="E15" i="3"/>
  <c r="D15" i="3"/>
  <c r="C15" i="3"/>
  <c r="H13" i="3"/>
  <c r="H51" i="2" s="1"/>
  <c r="E13" i="3"/>
  <c r="E51" i="2" s="1"/>
  <c r="N12" i="3"/>
  <c r="N13" i="3" s="1"/>
  <c r="N51" i="2" s="1"/>
  <c r="M12" i="3"/>
  <c r="L12" i="3"/>
  <c r="K12" i="3"/>
  <c r="J12" i="3"/>
  <c r="J13" i="3" s="1"/>
  <c r="I12" i="3"/>
  <c r="I13" i="3" s="1"/>
  <c r="H12" i="3"/>
  <c r="G12" i="3"/>
  <c r="F12" i="3"/>
  <c r="F13" i="3" s="1"/>
  <c r="F51" i="2" s="1"/>
  <c r="E12" i="3"/>
  <c r="D12" i="3"/>
  <c r="C12" i="3"/>
  <c r="N10" i="3"/>
  <c r="J10" i="3"/>
  <c r="G10" i="3"/>
  <c r="E10" i="3"/>
  <c r="E61" i="2" s="1"/>
  <c r="D10" i="3"/>
  <c r="D61" i="2" s="1"/>
  <c r="N9" i="3"/>
  <c r="M9" i="3"/>
  <c r="L9" i="3"/>
  <c r="K9" i="3"/>
  <c r="J9" i="3"/>
  <c r="I9" i="3"/>
  <c r="I10" i="3" s="1"/>
  <c r="H9" i="3"/>
  <c r="G9" i="3"/>
  <c r="F9" i="3"/>
  <c r="E9" i="3"/>
  <c r="D9" i="3"/>
  <c r="C9" i="3"/>
  <c r="L7" i="3"/>
  <c r="L56" i="2" s="1"/>
  <c r="K7" i="3"/>
  <c r="I7" i="3"/>
  <c r="I56" i="2" s="1"/>
  <c r="N6" i="3"/>
  <c r="N7" i="3" s="1"/>
  <c r="N56" i="2" s="1"/>
  <c r="M6" i="3"/>
  <c r="L6" i="3"/>
  <c r="K6" i="3"/>
  <c r="J6" i="3"/>
  <c r="I6" i="3"/>
  <c r="H6" i="3"/>
  <c r="G6" i="3"/>
  <c r="G7" i="3" s="1"/>
  <c r="G56" i="2" s="1"/>
  <c r="F6" i="3"/>
  <c r="E6" i="3"/>
  <c r="D6" i="3"/>
  <c r="C6" i="3"/>
  <c r="O5" i="3"/>
  <c r="N5" i="3"/>
  <c r="N23" i="3" s="1"/>
  <c r="M5" i="3"/>
  <c r="L5" i="3"/>
  <c r="K5" i="3"/>
  <c r="J5" i="3"/>
  <c r="I5" i="3"/>
  <c r="I32" i="3" s="1"/>
  <c r="I21" i="2" s="1"/>
  <c r="H5" i="3"/>
  <c r="G5" i="3"/>
  <c r="F5" i="3"/>
  <c r="F26" i="3" s="1"/>
  <c r="E5" i="3"/>
  <c r="D5" i="3"/>
  <c r="C5" i="3"/>
  <c r="C7" i="3" s="1"/>
  <c r="N3" i="3"/>
  <c r="M3" i="3"/>
  <c r="L3" i="3"/>
  <c r="K3" i="3"/>
  <c r="J3" i="3"/>
  <c r="I3" i="3"/>
  <c r="H3" i="3"/>
  <c r="G3" i="3"/>
  <c r="F3" i="3"/>
  <c r="E3" i="3"/>
  <c r="D3" i="3"/>
  <c r="C3" i="3"/>
  <c r="N64" i="2"/>
  <c r="L64" i="2"/>
  <c r="K64" i="2"/>
  <c r="I64" i="2"/>
  <c r="H64" i="2"/>
  <c r="G64" i="2"/>
  <c r="F64" i="2"/>
  <c r="M63" i="2"/>
  <c r="J63" i="2"/>
  <c r="G63" i="2"/>
  <c r="E63" i="2"/>
  <c r="L62" i="2"/>
  <c r="G62" i="2"/>
  <c r="F62" i="2"/>
  <c r="D62" i="2"/>
  <c r="J61" i="2"/>
  <c r="I61" i="2"/>
  <c r="G61" i="2"/>
  <c r="N59" i="2"/>
  <c r="M59" i="2"/>
  <c r="L59" i="2"/>
  <c r="J59" i="2"/>
  <c r="H59" i="2"/>
  <c r="G59" i="2"/>
  <c r="F59" i="2"/>
  <c r="E59" i="2"/>
  <c r="C59" i="2"/>
  <c r="E58" i="2"/>
  <c r="N57" i="2"/>
  <c r="J57" i="2"/>
  <c r="G57" i="2"/>
  <c r="F57" i="2"/>
  <c r="K56" i="2"/>
  <c r="J56" i="2"/>
  <c r="N54" i="2"/>
  <c r="M54" i="2"/>
  <c r="L54" i="2"/>
  <c r="K54" i="2"/>
  <c r="J54" i="2"/>
  <c r="I54" i="2"/>
  <c r="H54" i="2"/>
  <c r="G54" i="2"/>
  <c r="F54" i="2"/>
  <c r="E54" i="2"/>
  <c r="D54" i="2"/>
  <c r="M53" i="2"/>
  <c r="J53" i="2"/>
  <c r="I53" i="2"/>
  <c r="G53" i="2"/>
  <c r="E53" i="2"/>
  <c r="N52" i="2"/>
  <c r="L52" i="2"/>
  <c r="K52" i="2"/>
  <c r="F52" i="2"/>
  <c r="J51" i="2"/>
  <c r="I51" i="2"/>
  <c r="N49" i="2"/>
  <c r="M49" i="2"/>
  <c r="L49" i="2"/>
  <c r="K49" i="2"/>
  <c r="I49" i="2"/>
  <c r="H49" i="2"/>
  <c r="G49" i="2"/>
  <c r="F49" i="2"/>
  <c r="E49" i="2"/>
  <c r="D49" i="2"/>
  <c r="M48" i="2"/>
  <c r="I48" i="2"/>
  <c r="E48" i="2"/>
  <c r="N47" i="2"/>
  <c r="L47" i="2"/>
  <c r="H47" i="2"/>
  <c r="G47" i="2"/>
  <c r="F47" i="2"/>
  <c r="M46" i="2"/>
  <c r="G46" i="2"/>
  <c r="F46" i="2"/>
  <c r="N44" i="2"/>
  <c r="M44" i="2"/>
  <c r="L44" i="2"/>
  <c r="K44" i="2"/>
  <c r="J44" i="2"/>
  <c r="I44" i="2"/>
  <c r="H44" i="2"/>
  <c r="G44" i="2"/>
  <c r="F44" i="2"/>
  <c r="E44" i="2"/>
  <c r="D44" i="2"/>
  <c r="O44" i="2" s="1"/>
  <c r="C44" i="2"/>
  <c r="J43" i="2"/>
  <c r="H43" i="2"/>
  <c r="G43" i="2"/>
  <c r="E43" i="2"/>
  <c r="G42" i="2"/>
  <c r="H41" i="2"/>
  <c r="N40" i="2"/>
  <c r="M40" i="2"/>
  <c r="L40" i="2"/>
  <c r="K40" i="2"/>
  <c r="J40" i="2"/>
  <c r="H40" i="2"/>
  <c r="G40" i="2"/>
  <c r="F40" i="2"/>
  <c r="E40" i="2"/>
  <c r="C40" i="2"/>
  <c r="H39" i="2"/>
  <c r="N38" i="2"/>
  <c r="G38" i="2"/>
  <c r="F38" i="2"/>
  <c r="J37" i="2"/>
  <c r="G37" i="2"/>
  <c r="F37" i="2"/>
  <c r="N36" i="2"/>
  <c r="M36" i="2"/>
  <c r="L36" i="2"/>
  <c r="K36" i="2"/>
  <c r="J36" i="2"/>
  <c r="I36" i="2"/>
  <c r="H36" i="2"/>
  <c r="G36" i="2"/>
  <c r="F36" i="2"/>
  <c r="E36" i="2"/>
  <c r="D36" i="2"/>
  <c r="C36" i="2"/>
  <c r="N35" i="2"/>
  <c r="J35" i="2"/>
  <c r="I35" i="2"/>
  <c r="N34" i="2"/>
  <c r="K34" i="2"/>
  <c r="F34" i="2"/>
  <c r="J33" i="2"/>
  <c r="H33" i="2"/>
  <c r="G33" i="2"/>
  <c r="N32" i="2"/>
  <c r="M32" i="2"/>
  <c r="L32" i="2"/>
  <c r="K32" i="2"/>
  <c r="J32" i="2"/>
  <c r="I32" i="2"/>
  <c r="H32" i="2"/>
  <c r="G32" i="2"/>
  <c r="F32" i="2"/>
  <c r="E32" i="2"/>
  <c r="D32" i="2"/>
  <c r="J31" i="2"/>
  <c r="H31" i="2"/>
  <c r="N30" i="2"/>
  <c r="H30" i="2"/>
  <c r="G30" i="2"/>
  <c r="G29" i="2"/>
  <c r="N28" i="2"/>
  <c r="M28" i="2"/>
  <c r="L28" i="2"/>
  <c r="K28" i="2"/>
  <c r="J28" i="2"/>
  <c r="I28" i="2"/>
  <c r="H28" i="2"/>
  <c r="G28" i="2"/>
  <c r="E28" i="2"/>
  <c r="D28" i="2"/>
  <c r="J27" i="2"/>
  <c r="N26" i="2"/>
  <c r="G26" i="2"/>
  <c r="N25" i="2"/>
  <c r="I25" i="2"/>
  <c r="F25" i="2"/>
  <c r="N24" i="2"/>
  <c r="M24" i="2"/>
  <c r="K24" i="2"/>
  <c r="I24" i="2"/>
  <c r="H24" i="2"/>
  <c r="G24" i="2"/>
  <c r="F24" i="2"/>
  <c r="E24" i="2"/>
  <c r="C24" i="2"/>
  <c r="M23" i="2"/>
  <c r="L23" i="2"/>
  <c r="E23" i="2"/>
  <c r="D23" i="2"/>
  <c r="N22" i="2"/>
  <c r="H22" i="2"/>
  <c r="G22" i="2"/>
  <c r="G21" i="2"/>
  <c r="N20" i="2"/>
  <c r="M20" i="2"/>
  <c r="L20" i="2"/>
  <c r="J20" i="2"/>
  <c r="I20" i="2"/>
  <c r="H20" i="2"/>
  <c r="G20" i="2"/>
  <c r="F20" i="2"/>
  <c r="E20" i="2"/>
  <c r="D20" i="2"/>
  <c r="M19" i="2"/>
  <c r="H19" i="2"/>
  <c r="G19" i="2"/>
  <c r="E19" i="2"/>
  <c r="K18" i="2"/>
  <c r="G18" i="2"/>
  <c r="F18" i="2"/>
  <c r="F17" i="2"/>
  <c r="N16" i="2"/>
  <c r="M16" i="2"/>
  <c r="L16" i="2"/>
  <c r="K16" i="2"/>
  <c r="J16" i="2"/>
  <c r="I16" i="2"/>
  <c r="G16" i="2"/>
  <c r="F16" i="2"/>
  <c r="E16" i="2"/>
  <c r="D16" i="2"/>
  <c r="M15" i="2"/>
  <c r="L15" i="2"/>
  <c r="G15" i="2"/>
  <c r="E15" i="2"/>
  <c r="D15" i="2"/>
  <c r="H14" i="2"/>
  <c r="G14" i="2"/>
  <c r="N13" i="2"/>
  <c r="J13" i="2"/>
  <c r="I13" i="2"/>
  <c r="G13" i="2"/>
  <c r="N12" i="2"/>
  <c r="M12" i="2"/>
  <c r="L12" i="2"/>
  <c r="K12" i="2"/>
  <c r="J12" i="2"/>
  <c r="I12" i="2"/>
  <c r="G12" i="2"/>
  <c r="F12" i="2"/>
  <c r="E12" i="2"/>
  <c r="D12" i="2"/>
  <c r="M11" i="2"/>
  <c r="J11" i="2"/>
  <c r="G11" i="2"/>
  <c r="E11" i="2"/>
  <c r="K10" i="2"/>
  <c r="H10" i="2"/>
  <c r="M9" i="2"/>
  <c r="L9" i="2"/>
  <c r="I9" i="2"/>
  <c r="D9" i="2"/>
  <c r="M8" i="2"/>
  <c r="K8" i="2"/>
  <c r="I8" i="2"/>
  <c r="E8" i="2"/>
  <c r="C8" i="2"/>
  <c r="M7" i="2"/>
  <c r="J7" i="2"/>
  <c r="H7" i="2"/>
  <c r="E7" i="2"/>
  <c r="M6" i="2"/>
  <c r="K6" i="2"/>
  <c r="H6" i="2"/>
  <c r="N5" i="2"/>
  <c r="H5" i="2"/>
  <c r="G5" i="2"/>
  <c r="F5" i="2"/>
  <c r="A14" i="1"/>
  <c r="A13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O12" i="4" l="1"/>
  <c r="K22" i="2"/>
  <c r="K14" i="2"/>
  <c r="K26" i="2"/>
  <c r="K30" i="2"/>
  <c r="K42" i="2"/>
  <c r="C56" i="2"/>
  <c r="C32" i="4"/>
  <c r="O31" i="4"/>
  <c r="D50" i="11"/>
  <c r="D7" i="11"/>
  <c r="O6" i="11"/>
  <c r="L50" i="11"/>
  <c r="L7" i="11"/>
  <c r="B16" i="1"/>
  <c r="C7" i="1" s="1"/>
  <c r="M14" i="2"/>
  <c r="M67" i="2" s="1"/>
  <c r="O36" i="2"/>
  <c r="K26" i="3"/>
  <c r="K25" i="2" s="1"/>
  <c r="O34" i="3"/>
  <c r="M38" i="2"/>
  <c r="M26" i="2"/>
  <c r="M34" i="2"/>
  <c r="M22" i="2"/>
  <c r="M42" i="2"/>
  <c r="M10" i="2"/>
  <c r="C52" i="2"/>
  <c r="E32" i="5"/>
  <c r="E31" i="2" s="1"/>
  <c r="O31" i="5"/>
  <c r="M32" i="5"/>
  <c r="M31" i="2" s="1"/>
  <c r="M56" i="5"/>
  <c r="E51" i="11"/>
  <c r="E64" i="2"/>
  <c r="E69" i="2" s="1"/>
  <c r="E76" i="2" s="1"/>
  <c r="E32" i="3"/>
  <c r="E21" i="2" s="1"/>
  <c r="O31" i="3"/>
  <c r="K29" i="4"/>
  <c r="K19" i="4"/>
  <c r="M47" i="2"/>
  <c r="I35" i="4"/>
  <c r="I9" i="4"/>
  <c r="K24" i="4"/>
  <c r="C9" i="1"/>
  <c r="K32" i="4"/>
  <c r="K35" i="4"/>
  <c r="O41" i="5"/>
  <c r="K16" i="3"/>
  <c r="K46" i="2" s="1"/>
  <c r="K29" i="3"/>
  <c r="K9" i="2" s="1"/>
  <c r="K35" i="3"/>
  <c r="K17" i="2" s="1"/>
  <c r="F65" i="3"/>
  <c r="F7" i="3"/>
  <c r="F56" i="2" s="1"/>
  <c r="N65" i="3"/>
  <c r="C10" i="3"/>
  <c r="C65" i="3"/>
  <c r="O9" i="3"/>
  <c r="K10" i="3"/>
  <c r="N36" i="4"/>
  <c r="O19" i="5"/>
  <c r="O56" i="5" s="1"/>
  <c r="C56" i="5"/>
  <c r="K56" i="5"/>
  <c r="F58" i="7"/>
  <c r="H8" i="2"/>
  <c r="H69" i="2" s="1"/>
  <c r="C16" i="11"/>
  <c r="O15" i="11"/>
  <c r="K16" i="11"/>
  <c r="K20" i="2" s="1"/>
  <c r="K50" i="11"/>
  <c r="M30" i="2"/>
  <c r="D7" i="3"/>
  <c r="D56" i="2" s="1"/>
  <c r="D38" i="3"/>
  <c r="D37" i="2" s="1"/>
  <c r="D13" i="3"/>
  <c r="D51" i="2" s="1"/>
  <c r="D47" i="3"/>
  <c r="D13" i="2" s="1"/>
  <c r="D26" i="3"/>
  <c r="D25" i="2" s="1"/>
  <c r="L38" i="3"/>
  <c r="L37" i="2" s="1"/>
  <c r="L26" i="3"/>
  <c r="L25" i="2" s="1"/>
  <c r="L32" i="3"/>
  <c r="L21" i="2" s="1"/>
  <c r="L13" i="3"/>
  <c r="L51" i="2" s="1"/>
  <c r="O6" i="3"/>
  <c r="D16" i="3"/>
  <c r="D46" i="2" s="1"/>
  <c r="O15" i="3"/>
  <c r="I65" i="3"/>
  <c r="E47" i="2"/>
  <c r="C54" i="5"/>
  <c r="C42" i="5"/>
  <c r="C20" i="5"/>
  <c r="C13" i="5"/>
  <c r="C45" i="5"/>
  <c r="C39" i="5"/>
  <c r="C32" i="5"/>
  <c r="C17" i="5"/>
  <c r="C36" i="5"/>
  <c r="C9" i="5"/>
  <c r="C24" i="5"/>
  <c r="C51" i="5"/>
  <c r="C28" i="5"/>
  <c r="C48" i="5"/>
  <c r="K54" i="5"/>
  <c r="K63" i="2" s="1"/>
  <c r="K42" i="5"/>
  <c r="K43" i="2" s="1"/>
  <c r="K20" i="5"/>
  <c r="K19" i="2" s="1"/>
  <c r="K13" i="5"/>
  <c r="K11" i="2" s="1"/>
  <c r="K45" i="5"/>
  <c r="K48" i="2" s="1"/>
  <c r="K39" i="5"/>
  <c r="K39" i="2" s="1"/>
  <c r="K32" i="5"/>
  <c r="K31" i="2" s="1"/>
  <c r="K17" i="5"/>
  <c r="K15" i="2" s="1"/>
  <c r="K48" i="5"/>
  <c r="K53" i="2" s="1"/>
  <c r="K28" i="5"/>
  <c r="K27" i="2" s="1"/>
  <c r="K9" i="5"/>
  <c r="K36" i="5"/>
  <c r="K35" i="2" s="1"/>
  <c r="K24" i="5"/>
  <c r="K23" i="2" s="1"/>
  <c r="K51" i="5"/>
  <c r="K58" i="2" s="1"/>
  <c r="F12" i="7"/>
  <c r="M69" i="2"/>
  <c r="M76" i="2" s="1"/>
  <c r="E47" i="3"/>
  <c r="E13" i="2" s="1"/>
  <c r="E19" i="3"/>
  <c r="E41" i="2" s="1"/>
  <c r="M44" i="3"/>
  <c r="M29" i="2" s="1"/>
  <c r="M38" i="3"/>
  <c r="M37" i="2" s="1"/>
  <c r="M47" i="3"/>
  <c r="M13" i="2" s="1"/>
  <c r="M13" i="3"/>
  <c r="M51" i="2" s="1"/>
  <c r="H65" i="3"/>
  <c r="H7" i="3"/>
  <c r="H56" i="2" s="1"/>
  <c r="E16" i="3"/>
  <c r="E46" i="2" s="1"/>
  <c r="E23" i="3"/>
  <c r="E5" i="2" s="1"/>
  <c r="O25" i="3"/>
  <c r="K65" i="3"/>
  <c r="O8" i="4"/>
  <c r="D9" i="4"/>
  <c r="L35" i="4"/>
  <c r="L9" i="4"/>
  <c r="O40" i="2"/>
  <c r="O18" i="3"/>
  <c r="N66" i="3"/>
  <c r="N61" i="2"/>
  <c r="G29" i="4"/>
  <c r="G19" i="4"/>
  <c r="G24" i="4"/>
  <c r="I13" i="4"/>
  <c r="O13" i="4" s="1"/>
  <c r="I17" i="4"/>
  <c r="I27" i="4"/>
  <c r="I57" i="2" s="1"/>
  <c r="E9" i="4"/>
  <c r="H36" i="4"/>
  <c r="E35" i="4"/>
  <c r="F45" i="5"/>
  <c r="F48" i="2" s="1"/>
  <c r="F39" i="5"/>
  <c r="F39" i="2" s="1"/>
  <c r="F32" i="5"/>
  <c r="F31" i="2" s="1"/>
  <c r="F17" i="5"/>
  <c r="F15" i="2" s="1"/>
  <c r="F24" i="5"/>
  <c r="F23" i="2" s="1"/>
  <c r="F54" i="5"/>
  <c r="F63" i="2" s="1"/>
  <c r="F51" i="5"/>
  <c r="F58" i="2" s="1"/>
  <c r="F48" i="5"/>
  <c r="F53" i="2" s="1"/>
  <c r="F13" i="5"/>
  <c r="F11" i="2" s="1"/>
  <c r="F68" i="2" s="1"/>
  <c r="N45" i="5"/>
  <c r="N48" i="2" s="1"/>
  <c r="N39" i="5"/>
  <c r="N39" i="2" s="1"/>
  <c r="N32" i="5"/>
  <c r="N31" i="2" s="1"/>
  <c r="N17" i="5"/>
  <c r="N15" i="2" s="1"/>
  <c r="N13" i="5"/>
  <c r="N11" i="2" s="1"/>
  <c r="N9" i="5"/>
  <c r="N20" i="5"/>
  <c r="N19" i="2" s="1"/>
  <c r="N24" i="5"/>
  <c r="N23" i="2" s="1"/>
  <c r="N28" i="5"/>
  <c r="N27" i="2" s="1"/>
  <c r="N51" i="5"/>
  <c r="N58" i="2" s="1"/>
  <c r="N42" i="5"/>
  <c r="N43" i="2" s="1"/>
  <c r="F56" i="5"/>
  <c r="F28" i="5"/>
  <c r="F27" i="2" s="1"/>
  <c r="F42" i="5"/>
  <c r="F43" i="2" s="1"/>
  <c r="N54" i="5"/>
  <c r="N63" i="2" s="1"/>
  <c r="O13" i="11"/>
  <c r="D19" i="11"/>
  <c r="O18" i="11"/>
  <c r="O59" i="2"/>
  <c r="J40" i="4"/>
  <c r="J41" i="4"/>
  <c r="F20" i="5"/>
  <c r="F19" i="2" s="1"/>
  <c r="O39" i="11"/>
  <c r="C40" i="11"/>
  <c r="O43" i="11"/>
  <c r="G6" i="2"/>
  <c r="J8" i="2"/>
  <c r="J69" i="2" s="1"/>
  <c r="H10" i="3"/>
  <c r="H38" i="3"/>
  <c r="H37" i="2" s="1"/>
  <c r="H29" i="3"/>
  <c r="H9" i="2" s="1"/>
  <c r="H44" i="3"/>
  <c r="H29" i="2" s="1"/>
  <c r="H35" i="3"/>
  <c r="H17" i="2" s="1"/>
  <c r="H26" i="3"/>
  <c r="H25" i="2" s="1"/>
  <c r="O12" i="3"/>
  <c r="C13" i="3"/>
  <c r="K13" i="3"/>
  <c r="K51" i="2" s="1"/>
  <c r="D23" i="3"/>
  <c r="D5" i="2" s="1"/>
  <c r="K23" i="3"/>
  <c r="K5" i="2" s="1"/>
  <c r="H32" i="3"/>
  <c r="H21" i="2" s="1"/>
  <c r="C41" i="3"/>
  <c r="K41" i="3"/>
  <c r="K33" i="2" s="1"/>
  <c r="C44" i="3"/>
  <c r="O43" i="3"/>
  <c r="K44" i="3"/>
  <c r="K29" i="2" s="1"/>
  <c r="K41" i="4"/>
  <c r="K40" i="4"/>
  <c r="F36" i="5"/>
  <c r="F35" i="2" s="1"/>
  <c r="F108" i="7"/>
  <c r="I69" i="2"/>
  <c r="C16" i="2"/>
  <c r="O16" i="2" s="1"/>
  <c r="E65" i="3"/>
  <c r="M65" i="3"/>
  <c r="M10" i="3"/>
  <c r="F22" i="2"/>
  <c r="K69" i="2"/>
  <c r="G10" i="2"/>
  <c r="F26" i="2"/>
  <c r="G65" i="3"/>
  <c r="C19" i="3"/>
  <c r="K19" i="3"/>
  <c r="K41" i="2" s="1"/>
  <c r="O22" i="3"/>
  <c r="C23" i="3"/>
  <c r="L23" i="3"/>
  <c r="L5" i="2" s="1"/>
  <c r="C26" i="3"/>
  <c r="C35" i="3"/>
  <c r="D41" i="3"/>
  <c r="D33" i="2" s="1"/>
  <c r="D44" i="3"/>
  <c r="D29" i="2" s="1"/>
  <c r="L44" i="3"/>
  <c r="L29" i="2" s="1"/>
  <c r="H42" i="2"/>
  <c r="H34" i="2"/>
  <c r="H26" i="2"/>
  <c r="H18" i="2"/>
  <c r="H67" i="2" s="1"/>
  <c r="H74" i="2" s="1"/>
  <c r="H38" i="2"/>
  <c r="M22" i="4"/>
  <c r="M52" i="2" s="1"/>
  <c r="F7" i="7"/>
  <c r="G33" i="7"/>
  <c r="F120" i="7"/>
  <c r="F27" i="7"/>
  <c r="L41" i="3"/>
  <c r="L33" i="2" s="1"/>
  <c r="O16" i="4"/>
  <c r="O21" i="4"/>
  <c r="C27" i="4"/>
  <c r="D26" i="4"/>
  <c r="O26" i="4" s="1"/>
  <c r="J32" i="4"/>
  <c r="J62" i="2" s="1"/>
  <c r="D54" i="5"/>
  <c r="D63" i="2" s="1"/>
  <c r="D42" i="5"/>
  <c r="D43" i="2" s="1"/>
  <c r="D20" i="5"/>
  <c r="D19" i="2" s="1"/>
  <c r="D13" i="5"/>
  <c r="D11" i="2" s="1"/>
  <c r="D36" i="5"/>
  <c r="D35" i="2" s="1"/>
  <c r="D9" i="5"/>
  <c r="D32" i="5"/>
  <c r="D31" i="2" s="1"/>
  <c r="D51" i="5"/>
  <c r="D58" i="2" s="1"/>
  <c r="D48" i="5"/>
  <c r="D53" i="2" s="1"/>
  <c r="L54" i="5"/>
  <c r="L63" i="2" s="1"/>
  <c r="L42" i="5"/>
  <c r="L43" i="2" s="1"/>
  <c r="L20" i="5"/>
  <c r="L19" i="2" s="1"/>
  <c r="L13" i="5"/>
  <c r="L11" i="2" s="1"/>
  <c r="L28" i="5"/>
  <c r="L27" i="2" s="1"/>
  <c r="L45" i="5"/>
  <c r="L48" i="2" s="1"/>
  <c r="L36" i="5"/>
  <c r="L35" i="2" s="1"/>
  <c r="L51" i="5"/>
  <c r="L58" i="2" s="1"/>
  <c r="H24" i="5"/>
  <c r="H23" i="2" s="1"/>
  <c r="C138" i="7"/>
  <c r="F138" i="7" s="1"/>
  <c r="G138" i="7" s="1"/>
  <c r="F6" i="7"/>
  <c r="G6" i="7" s="1"/>
  <c r="C141" i="7"/>
  <c r="F9" i="7"/>
  <c r="F135" i="7"/>
  <c r="D132" i="7"/>
  <c r="F132" i="7" s="1"/>
  <c r="D108" i="7"/>
  <c r="D84" i="7"/>
  <c r="D60" i="7"/>
  <c r="F60" i="7" s="1"/>
  <c r="D96" i="7"/>
  <c r="F96" i="7" s="1"/>
  <c r="D48" i="7"/>
  <c r="D24" i="7"/>
  <c r="F24" i="7" s="1"/>
  <c r="G38" i="10"/>
  <c r="E38" i="7" s="1"/>
  <c r="F38" i="7" s="1"/>
  <c r="E134" i="10"/>
  <c r="G134" i="10" s="1"/>
  <c r="E134" i="7" s="1"/>
  <c r="F134" i="7" s="1"/>
  <c r="E74" i="10"/>
  <c r="G74" i="10" s="1"/>
  <c r="E74" i="7" s="1"/>
  <c r="E62" i="10"/>
  <c r="G62" i="10" s="1"/>
  <c r="E62" i="7" s="1"/>
  <c r="F62" i="7" s="1"/>
  <c r="E122" i="10"/>
  <c r="G122" i="10" s="1"/>
  <c r="E122" i="7" s="1"/>
  <c r="F122" i="7" s="1"/>
  <c r="E86" i="10"/>
  <c r="G86" i="10" s="1"/>
  <c r="E86" i="7" s="1"/>
  <c r="C10" i="11"/>
  <c r="O9" i="11"/>
  <c r="K51" i="11"/>
  <c r="H13" i="11"/>
  <c r="H16" i="2" s="1"/>
  <c r="H50" i="11"/>
  <c r="M68" i="2"/>
  <c r="F10" i="2"/>
  <c r="N10" i="2"/>
  <c r="F30" i="2"/>
  <c r="J29" i="3"/>
  <c r="J9" i="2" s="1"/>
  <c r="J66" i="2" s="1"/>
  <c r="J19" i="3"/>
  <c r="J41" i="2" s="1"/>
  <c r="E7" i="3"/>
  <c r="M7" i="3"/>
  <c r="M56" i="2" s="1"/>
  <c r="C16" i="3"/>
  <c r="L16" i="3"/>
  <c r="L46" i="2" s="1"/>
  <c r="M23" i="3"/>
  <c r="M5" i="2" s="1"/>
  <c r="D32" i="3"/>
  <c r="D21" i="2" s="1"/>
  <c r="J35" i="3"/>
  <c r="J17" i="2" s="1"/>
  <c r="H47" i="3"/>
  <c r="H13" i="2" s="1"/>
  <c r="C17" i="4"/>
  <c r="M27" i="4"/>
  <c r="M57" i="2" s="1"/>
  <c r="E32" i="4"/>
  <c r="E62" i="2" s="1"/>
  <c r="M32" i="4"/>
  <c r="M62" i="2" s="1"/>
  <c r="L9" i="5"/>
  <c r="D28" i="5"/>
  <c r="D27" i="2" s="1"/>
  <c r="L39" i="5"/>
  <c r="L39" i="2" s="1"/>
  <c r="C145" i="7"/>
  <c r="F13" i="7"/>
  <c r="F118" i="7"/>
  <c r="D127" i="7"/>
  <c r="F127" i="7" s="1"/>
  <c r="G127" i="7" s="1"/>
  <c r="D31" i="7"/>
  <c r="F31" i="7" s="1"/>
  <c r="G31" i="7" s="1"/>
  <c r="D103" i="7"/>
  <c r="D79" i="7"/>
  <c r="F79" i="7" s="1"/>
  <c r="G79" i="7" s="1"/>
  <c r="D55" i="7"/>
  <c r="F55" i="7" s="1"/>
  <c r="G55" i="7" s="1"/>
  <c r="D115" i="7"/>
  <c r="F115" i="7" s="1"/>
  <c r="G115" i="7" s="1"/>
  <c r="D91" i="7"/>
  <c r="F91" i="7" s="1"/>
  <c r="G91" i="7" s="1"/>
  <c r="D43" i="7"/>
  <c r="F43" i="7" s="1"/>
  <c r="G43" i="7" s="1"/>
  <c r="G44" i="7" s="1"/>
  <c r="M26" i="3"/>
  <c r="M25" i="2" s="1"/>
  <c r="E35" i="3"/>
  <c r="E17" i="2" s="1"/>
  <c r="M35" i="3"/>
  <c r="M17" i="2" s="1"/>
  <c r="C47" i="3"/>
  <c r="O46" i="3"/>
  <c r="K47" i="3"/>
  <c r="K13" i="2" s="1"/>
  <c r="H24" i="4"/>
  <c r="H29" i="4" s="1"/>
  <c r="H19" i="4"/>
  <c r="J17" i="4"/>
  <c r="J9" i="4"/>
  <c r="I22" i="4"/>
  <c r="I52" i="2" s="1"/>
  <c r="E22" i="4"/>
  <c r="E52" i="2" s="1"/>
  <c r="F35" i="4"/>
  <c r="L32" i="5"/>
  <c r="L31" i="2" s="1"/>
  <c r="E142" i="7"/>
  <c r="F48" i="7"/>
  <c r="F84" i="7"/>
  <c r="O33" i="11"/>
  <c r="F6" i="2"/>
  <c r="N6" i="2"/>
  <c r="N67" i="2" s="1"/>
  <c r="N74" i="2" s="1"/>
  <c r="F14" i="2"/>
  <c r="N14" i="2"/>
  <c r="N18" i="2"/>
  <c r="N32" i="3"/>
  <c r="N21" i="2" s="1"/>
  <c r="N29" i="3"/>
  <c r="N9" i="2" s="1"/>
  <c r="N66" i="2" s="1"/>
  <c r="J65" i="3"/>
  <c r="F10" i="3"/>
  <c r="M19" i="3"/>
  <c r="M41" i="2" s="1"/>
  <c r="C29" i="3"/>
  <c r="F32" i="3"/>
  <c r="F21" i="2" s="1"/>
  <c r="C38" i="3"/>
  <c r="O37" i="3"/>
  <c r="K38" i="3"/>
  <c r="K37" i="2" s="1"/>
  <c r="L47" i="3"/>
  <c r="L13" i="2" s="1"/>
  <c r="E13" i="4"/>
  <c r="D47" i="2"/>
  <c r="I24" i="4"/>
  <c r="I29" i="4" s="1"/>
  <c r="G35" i="4"/>
  <c r="E39" i="5"/>
  <c r="E39" i="2" s="1"/>
  <c r="O38" i="5"/>
  <c r="M39" i="5"/>
  <c r="M39" i="2" s="1"/>
  <c r="M41" i="5"/>
  <c r="M42" i="5" s="1"/>
  <c r="M43" i="2" s="1"/>
  <c r="L48" i="5"/>
  <c r="L53" i="2" s="1"/>
  <c r="F14" i="7"/>
  <c r="F98" i="7"/>
  <c r="D46" i="11"/>
  <c r="D64" i="2" s="1"/>
  <c r="O45" i="11"/>
  <c r="D65" i="3"/>
  <c r="L65" i="3"/>
  <c r="L10" i="3"/>
  <c r="D19" i="3"/>
  <c r="D41" i="2" s="1"/>
  <c r="L19" i="3"/>
  <c r="L41" i="2" s="1"/>
  <c r="J26" i="3"/>
  <c r="J25" i="2" s="1"/>
  <c r="C32" i="3"/>
  <c r="K32" i="3"/>
  <c r="K21" i="2" s="1"/>
  <c r="I41" i="3"/>
  <c r="I33" i="2" s="1"/>
  <c r="C35" i="4"/>
  <c r="F36" i="4"/>
  <c r="H48" i="5"/>
  <c r="H53" i="2" s="1"/>
  <c r="H36" i="5"/>
  <c r="H35" i="2" s="1"/>
  <c r="H28" i="5"/>
  <c r="H27" i="2" s="1"/>
  <c r="H51" i="5"/>
  <c r="H58" i="2" s="1"/>
  <c r="H13" i="5"/>
  <c r="H11" i="2" s="1"/>
  <c r="H68" i="2" s="1"/>
  <c r="E56" i="5"/>
  <c r="F56" i="7"/>
  <c r="G56" i="7" s="1"/>
  <c r="F117" i="7"/>
  <c r="D128" i="7"/>
  <c r="F128" i="7" s="1"/>
  <c r="G128" i="7" s="1"/>
  <c r="D116" i="7"/>
  <c r="F116" i="7" s="1"/>
  <c r="G116" i="7" s="1"/>
  <c r="D80" i="7"/>
  <c r="F80" i="7" s="1"/>
  <c r="G80" i="7" s="1"/>
  <c r="D56" i="7"/>
  <c r="D20" i="7"/>
  <c r="D92" i="7"/>
  <c r="F92" i="7" s="1"/>
  <c r="D32" i="7"/>
  <c r="D68" i="7"/>
  <c r="F68" i="7" s="1"/>
  <c r="G68" i="7" s="1"/>
  <c r="D104" i="7"/>
  <c r="F104" i="7" s="1"/>
  <c r="G104" i="7" s="1"/>
  <c r="D133" i="7"/>
  <c r="D121" i="7"/>
  <c r="D61" i="7"/>
  <c r="D13" i="7"/>
  <c r="D109" i="7"/>
  <c r="F109" i="7" s="1"/>
  <c r="D97" i="7"/>
  <c r="D49" i="7"/>
  <c r="F49" i="7" s="1"/>
  <c r="E143" i="7"/>
  <c r="O28" i="11"/>
  <c r="F32" i="7"/>
  <c r="G32" i="7" s="1"/>
  <c r="F131" i="7"/>
  <c r="D106" i="7"/>
  <c r="F106" i="7" s="1"/>
  <c r="D118" i="7"/>
  <c r="D94" i="7"/>
  <c r="F94" i="7" s="1"/>
  <c r="D10" i="7"/>
  <c r="D58" i="7"/>
  <c r="D82" i="7"/>
  <c r="F82" i="7" s="1"/>
  <c r="D70" i="7"/>
  <c r="F70" i="7" s="1"/>
  <c r="D34" i="7"/>
  <c r="F34" i="7" s="1"/>
  <c r="D110" i="7"/>
  <c r="F110" i="7" s="1"/>
  <c r="D86" i="7"/>
  <c r="F86" i="7" s="1"/>
  <c r="D74" i="7"/>
  <c r="F74" i="7" s="1"/>
  <c r="D26" i="7"/>
  <c r="F26" i="7" s="1"/>
  <c r="D31" i="11"/>
  <c r="D40" i="2" s="1"/>
  <c r="O30" i="11"/>
  <c r="E137" i="7"/>
  <c r="F11" i="7"/>
  <c r="C143" i="7"/>
  <c r="F46" i="7"/>
  <c r="F69" i="7"/>
  <c r="G50" i="11"/>
  <c r="G7" i="11"/>
  <c r="O27" i="11"/>
  <c r="O36" i="11"/>
  <c r="C37" i="11"/>
  <c r="G13" i="3"/>
  <c r="G51" i="2" s="1"/>
  <c r="G66" i="2" s="1"/>
  <c r="E41" i="3"/>
  <c r="E33" i="2" s="1"/>
  <c r="M41" i="3"/>
  <c r="M33" i="2" s="1"/>
  <c r="H35" i="4"/>
  <c r="C9" i="4"/>
  <c r="E24" i="4"/>
  <c r="E38" i="4" s="1"/>
  <c r="F39" i="4" s="1"/>
  <c r="L27" i="4"/>
  <c r="L57" i="2" s="1"/>
  <c r="D56" i="5"/>
  <c r="L56" i="5"/>
  <c r="J20" i="5"/>
  <c r="J19" i="2" s="1"/>
  <c r="I28" i="5"/>
  <c r="I27" i="2" s="1"/>
  <c r="C139" i="7"/>
  <c r="G28" i="8"/>
  <c r="C28" i="7" s="1"/>
  <c r="F40" i="8"/>
  <c r="F65" i="8"/>
  <c r="G53" i="8"/>
  <c r="C53" i="7" s="1"/>
  <c r="D105" i="7"/>
  <c r="F105" i="7" s="1"/>
  <c r="D93" i="7"/>
  <c r="F93" i="7" s="1"/>
  <c r="D81" i="7"/>
  <c r="D45" i="7"/>
  <c r="F45" i="7" s="1"/>
  <c r="G45" i="7" s="1"/>
  <c r="E133" i="10"/>
  <c r="G133" i="10" s="1"/>
  <c r="E133" i="7" s="1"/>
  <c r="M51" i="11"/>
  <c r="I23" i="3"/>
  <c r="I5" i="2" s="1"/>
  <c r="J35" i="4"/>
  <c r="L36" i="4"/>
  <c r="N32" i="4"/>
  <c r="N62" i="2" s="1"/>
  <c r="I51" i="5"/>
  <c r="I58" i="2" s="1"/>
  <c r="I24" i="5"/>
  <c r="I23" i="2" s="1"/>
  <c r="I9" i="5"/>
  <c r="I54" i="5"/>
  <c r="I63" i="2" s="1"/>
  <c r="I42" i="5"/>
  <c r="I43" i="2" s="1"/>
  <c r="I20" i="5"/>
  <c r="I19" i="2" s="1"/>
  <c r="I13" i="5"/>
  <c r="I11" i="2" s="1"/>
  <c r="I17" i="5"/>
  <c r="I15" i="2" s="1"/>
  <c r="I39" i="5"/>
  <c r="I39" i="2" s="1"/>
  <c r="E139" i="7"/>
  <c r="F111" i="7"/>
  <c r="F133" i="7"/>
  <c r="O12" i="11"/>
  <c r="J50" i="11"/>
  <c r="J46" i="11"/>
  <c r="J64" i="2" s="1"/>
  <c r="I35" i="3"/>
  <c r="I17" i="2" s="1"/>
  <c r="G22" i="4"/>
  <c r="J51" i="5"/>
  <c r="J58" i="2" s="1"/>
  <c r="J24" i="5"/>
  <c r="J23" i="2" s="1"/>
  <c r="J17" i="5"/>
  <c r="J15" i="2" s="1"/>
  <c r="J68" i="2" s="1"/>
  <c r="G56" i="5"/>
  <c r="J39" i="5"/>
  <c r="J39" i="2" s="1"/>
  <c r="E136" i="7"/>
  <c r="E141" i="7"/>
  <c r="C144" i="7"/>
  <c r="C146" i="7"/>
  <c r="F36" i="7"/>
  <c r="F57" i="7"/>
  <c r="G57" i="7" s="1"/>
  <c r="F61" i="7"/>
  <c r="E121" i="10"/>
  <c r="G121" i="10" s="1"/>
  <c r="E121" i="7" s="1"/>
  <c r="E73" i="10"/>
  <c r="G73" i="10" s="1"/>
  <c r="E73" i="7" s="1"/>
  <c r="F73" i="7" s="1"/>
  <c r="G37" i="10"/>
  <c r="E37" i="7" s="1"/>
  <c r="F37" i="7" s="1"/>
  <c r="E97" i="10"/>
  <c r="G97" i="10" s="1"/>
  <c r="E97" i="7" s="1"/>
  <c r="E85" i="10"/>
  <c r="G85" i="10" s="1"/>
  <c r="E85" i="7" s="1"/>
  <c r="F85" i="7" s="1"/>
  <c r="E75" i="10"/>
  <c r="G75" i="10" s="1"/>
  <c r="E75" i="7" s="1"/>
  <c r="F75" i="7" s="1"/>
  <c r="O31" i="11"/>
  <c r="C46" i="11"/>
  <c r="C50" i="11"/>
  <c r="G9" i="5"/>
  <c r="G24" i="5"/>
  <c r="G23" i="2" s="1"/>
  <c r="E28" i="5"/>
  <c r="E27" i="2" s="1"/>
  <c r="M28" i="5"/>
  <c r="M27" i="2" s="1"/>
  <c r="E36" i="5"/>
  <c r="E35" i="2" s="1"/>
  <c r="E68" i="2" s="1"/>
  <c r="M36" i="5"/>
  <c r="M35" i="2" s="1"/>
  <c r="G51" i="5"/>
  <c r="G58" i="2" s="1"/>
  <c r="C140" i="7"/>
  <c r="C22" i="11"/>
  <c r="O21" i="11"/>
  <c r="G28" i="5"/>
  <c r="G27" i="2" s="1"/>
  <c r="G36" i="5"/>
  <c r="G35" i="2" s="1"/>
  <c r="F107" i="7"/>
  <c r="D123" i="7"/>
  <c r="F123" i="7" s="1"/>
  <c r="D99" i="7"/>
  <c r="F99" i="7" s="1"/>
  <c r="D39" i="7"/>
  <c r="D147" i="7" s="1"/>
  <c r="O24" i="11"/>
  <c r="C25" i="11"/>
  <c r="I50" i="11"/>
  <c r="C147" i="7"/>
  <c r="F81" i="7"/>
  <c r="D131" i="7"/>
  <c r="D107" i="7"/>
  <c r="D119" i="7"/>
  <c r="F119" i="7" s="1"/>
  <c r="D35" i="7"/>
  <c r="F35" i="7" s="1"/>
  <c r="I51" i="11"/>
  <c r="F103" i="7"/>
  <c r="G103" i="7" s="1"/>
  <c r="F129" i="7"/>
  <c r="D135" i="7"/>
  <c r="D111" i="7"/>
  <c r="M50" i="11"/>
  <c r="E60" i="10"/>
  <c r="G60" i="10" s="1"/>
  <c r="E60" i="7" s="1"/>
  <c r="E96" i="10"/>
  <c r="G96" i="10" s="1"/>
  <c r="E96" i="7" s="1"/>
  <c r="E120" i="10"/>
  <c r="G120" i="10" s="1"/>
  <c r="E120" i="7" s="1"/>
  <c r="E72" i="10"/>
  <c r="G72" i="10" s="1"/>
  <c r="E72" i="7" s="1"/>
  <c r="F72" i="7" s="1"/>
  <c r="F7" i="11"/>
  <c r="F50" i="11"/>
  <c r="N7" i="11"/>
  <c r="N50" i="11"/>
  <c r="E50" i="11"/>
  <c r="E99" i="10"/>
  <c r="G99" i="10" s="1"/>
  <c r="E99" i="7" s="1"/>
  <c r="E87" i="10"/>
  <c r="G87" i="10" s="1"/>
  <c r="E87" i="7" s="1"/>
  <c r="F87" i="7" s="1"/>
  <c r="G82" i="7" l="1"/>
  <c r="G83" i="7" s="1"/>
  <c r="G84" i="7" s="1"/>
  <c r="G85" i="7" s="1"/>
  <c r="G86" i="7" s="1"/>
  <c r="G87" i="7" s="1"/>
  <c r="N73" i="2"/>
  <c r="G72" i="7"/>
  <c r="G73" i="7" s="1"/>
  <c r="G74" i="7" s="1"/>
  <c r="G75" i="7" s="1"/>
  <c r="G35" i="7"/>
  <c r="G36" i="7" s="1"/>
  <c r="G37" i="7" s="1"/>
  <c r="G38" i="7" s="1"/>
  <c r="H75" i="2"/>
  <c r="C9" i="2"/>
  <c r="O9" i="2" s="1"/>
  <c r="O29" i="3"/>
  <c r="D146" i="7"/>
  <c r="O35" i="3"/>
  <c r="C17" i="2"/>
  <c r="O17" i="2" s="1"/>
  <c r="O13" i="3"/>
  <c r="C51" i="2"/>
  <c r="O51" i="2" s="1"/>
  <c r="C66" i="3"/>
  <c r="C61" i="2"/>
  <c r="O10" i="3"/>
  <c r="O50" i="11"/>
  <c r="G105" i="7"/>
  <c r="G106" i="7" s="1"/>
  <c r="G107" i="7" s="1"/>
  <c r="G108" i="7" s="1"/>
  <c r="G109" i="7" s="1"/>
  <c r="G110" i="7" s="1"/>
  <c r="G111" i="7" s="1"/>
  <c r="O26" i="3"/>
  <c r="C25" i="2"/>
  <c r="O25" i="2" s="1"/>
  <c r="O44" i="3"/>
  <c r="C29" i="2"/>
  <c r="O29" i="2" s="1"/>
  <c r="O54" i="5"/>
  <c r="C63" i="2"/>
  <c r="O63" i="2" s="1"/>
  <c r="O16" i="11"/>
  <c r="C20" i="2"/>
  <c r="O20" i="2" s="1"/>
  <c r="I26" i="2"/>
  <c r="I30" i="2"/>
  <c r="I14" i="2"/>
  <c r="I18" i="2"/>
  <c r="I22" i="2"/>
  <c r="I38" i="2"/>
  <c r="I34" i="2"/>
  <c r="I6" i="2"/>
  <c r="I67" i="2" s="1"/>
  <c r="I10" i="2"/>
  <c r="I42" i="2"/>
  <c r="J66" i="3"/>
  <c r="J73" i="2" s="1"/>
  <c r="D51" i="11"/>
  <c r="O7" i="11"/>
  <c r="D8" i="2"/>
  <c r="F146" i="7"/>
  <c r="I66" i="2"/>
  <c r="O37" i="11"/>
  <c r="C49" i="2"/>
  <c r="O49" i="2" s="1"/>
  <c r="G117" i="7"/>
  <c r="G118" i="7" s="1"/>
  <c r="G119" i="7" s="1"/>
  <c r="G120" i="7" s="1"/>
  <c r="F66" i="3"/>
  <c r="F61" i="2"/>
  <c r="F66" i="2" s="1"/>
  <c r="F67" i="2"/>
  <c r="F74" i="2" s="1"/>
  <c r="C36" i="4"/>
  <c r="C47" i="2"/>
  <c r="O17" i="4"/>
  <c r="E56" i="2"/>
  <c r="E66" i="3"/>
  <c r="D57" i="5"/>
  <c r="D7" i="2"/>
  <c r="D68" i="2" s="1"/>
  <c r="C57" i="2"/>
  <c r="K76" i="2"/>
  <c r="M57" i="5"/>
  <c r="M75" i="2" s="1"/>
  <c r="D38" i="2"/>
  <c r="D30" i="2"/>
  <c r="D22" i="2"/>
  <c r="D26" i="2"/>
  <c r="D10" i="2"/>
  <c r="D42" i="2"/>
  <c r="D34" i="2"/>
  <c r="D18" i="2"/>
  <c r="D14" i="2"/>
  <c r="D6" i="2"/>
  <c r="O17" i="5"/>
  <c r="C15" i="2"/>
  <c r="O15" i="2" s="1"/>
  <c r="K62" i="2"/>
  <c r="K67" i="2" s="1"/>
  <c r="K36" i="4"/>
  <c r="E144" i="7"/>
  <c r="F144" i="7" s="1"/>
  <c r="G52" i="2"/>
  <c r="O52" i="2" s="1"/>
  <c r="G36" i="4"/>
  <c r="F77" i="8"/>
  <c r="G65" i="8"/>
  <c r="C65" i="7" s="1"/>
  <c r="G34" i="7"/>
  <c r="F97" i="7"/>
  <c r="F145" i="7"/>
  <c r="O23" i="3"/>
  <c r="C5" i="2"/>
  <c r="O41" i="3"/>
  <c r="C33" i="2"/>
  <c r="O33" i="2" s="1"/>
  <c r="O40" i="11"/>
  <c r="C54" i="2"/>
  <c r="O54" i="2" s="1"/>
  <c r="I36" i="4"/>
  <c r="I47" i="2"/>
  <c r="D66" i="3"/>
  <c r="O35" i="4"/>
  <c r="D144" i="7"/>
  <c r="O32" i="5"/>
  <c r="C31" i="2"/>
  <c r="O31" i="2" s="1"/>
  <c r="E36" i="4"/>
  <c r="H51" i="11"/>
  <c r="H76" i="2" s="1"/>
  <c r="F57" i="5"/>
  <c r="F75" i="2" s="1"/>
  <c r="J76" i="2"/>
  <c r="N57" i="5"/>
  <c r="N7" i="2"/>
  <c r="N68" i="2" s="1"/>
  <c r="N75" i="2" s="1"/>
  <c r="O9" i="5"/>
  <c r="C57" i="5"/>
  <c r="C7" i="2"/>
  <c r="O32" i="4"/>
  <c r="C62" i="2"/>
  <c r="G46" i="7"/>
  <c r="G47" i="7" s="1"/>
  <c r="D27" i="4"/>
  <c r="O27" i="4" s="1"/>
  <c r="D35" i="4"/>
  <c r="K57" i="5"/>
  <c r="K7" i="2"/>
  <c r="K68" i="2" s="1"/>
  <c r="K75" i="2" s="1"/>
  <c r="P56" i="5"/>
  <c r="O22" i="11"/>
  <c r="C28" i="2"/>
  <c r="O28" i="2" s="1"/>
  <c r="G57" i="5"/>
  <c r="G7" i="2"/>
  <c r="G68" i="2" s="1"/>
  <c r="G75" i="2" s="1"/>
  <c r="I57" i="5"/>
  <c r="I7" i="2"/>
  <c r="I68" i="2" s="1"/>
  <c r="I75" i="2" s="1"/>
  <c r="F52" i="8"/>
  <c r="G40" i="8"/>
  <c r="C40" i="7" s="1"/>
  <c r="G92" i="7"/>
  <c r="L66" i="3"/>
  <c r="L61" i="2"/>
  <c r="L66" i="2" s="1"/>
  <c r="C13" i="2"/>
  <c r="O13" i="2" s="1"/>
  <c r="O47" i="3"/>
  <c r="O19" i="11"/>
  <c r="D24" i="2"/>
  <c r="O24" i="2" s="1"/>
  <c r="O48" i="5"/>
  <c r="C53" i="2"/>
  <c r="O53" i="2" s="1"/>
  <c r="C13" i="1"/>
  <c r="C14" i="1"/>
  <c r="C4" i="1"/>
  <c r="C6" i="1"/>
  <c r="C5" i="1"/>
  <c r="C10" i="1"/>
  <c r="C12" i="1"/>
  <c r="N51" i="11"/>
  <c r="N8" i="2"/>
  <c r="N69" i="2" s="1"/>
  <c r="N76" i="2" s="1"/>
  <c r="G51" i="11"/>
  <c r="G8" i="2"/>
  <c r="G69" i="2" s="1"/>
  <c r="D145" i="7"/>
  <c r="D140" i="7"/>
  <c r="F140" i="7" s="1"/>
  <c r="F20" i="7"/>
  <c r="G20" i="7" s="1"/>
  <c r="G21" i="7" s="1"/>
  <c r="G22" i="7" s="1"/>
  <c r="G23" i="7" s="1"/>
  <c r="G24" i="7" s="1"/>
  <c r="G25" i="7" s="1"/>
  <c r="G26" i="7" s="1"/>
  <c r="G27" i="7" s="1"/>
  <c r="E57" i="5"/>
  <c r="E75" i="2" s="1"/>
  <c r="G48" i="7"/>
  <c r="G49" i="7" s="1"/>
  <c r="G50" i="7" s="1"/>
  <c r="G51" i="7" s="1"/>
  <c r="G7" i="7"/>
  <c r="G8" i="7" s="1"/>
  <c r="G9" i="7" s="1"/>
  <c r="H57" i="5"/>
  <c r="O28" i="5"/>
  <c r="C27" i="2"/>
  <c r="O27" i="2" s="1"/>
  <c r="C11" i="1"/>
  <c r="K66" i="3"/>
  <c r="K61" i="2"/>
  <c r="K66" i="2" s="1"/>
  <c r="C3" i="1"/>
  <c r="O7" i="3"/>
  <c r="G81" i="7"/>
  <c r="O46" i="11"/>
  <c r="C64" i="2"/>
  <c r="O64" i="2" s="1"/>
  <c r="D143" i="7"/>
  <c r="F143" i="7" s="1"/>
  <c r="O38" i="3"/>
  <c r="C37" i="2"/>
  <c r="O37" i="2" s="1"/>
  <c r="J30" i="2"/>
  <c r="J10" i="2"/>
  <c r="J42" i="2"/>
  <c r="J22" i="2"/>
  <c r="J18" i="2"/>
  <c r="J14" i="2"/>
  <c r="J6" i="2"/>
  <c r="J38" i="2"/>
  <c r="J34" i="2"/>
  <c r="J26" i="2"/>
  <c r="L7" i="2"/>
  <c r="L68" i="2" s="1"/>
  <c r="L57" i="5"/>
  <c r="M66" i="2"/>
  <c r="O10" i="11"/>
  <c r="C12" i="2"/>
  <c r="D139" i="7"/>
  <c r="F139" i="7" s="1"/>
  <c r="G139" i="7" s="1"/>
  <c r="O19" i="3"/>
  <c r="C41" i="2"/>
  <c r="O41" i="2" s="1"/>
  <c r="D66" i="2"/>
  <c r="F39" i="7"/>
  <c r="J51" i="11"/>
  <c r="E66" i="2"/>
  <c r="O51" i="5"/>
  <c r="C58" i="2"/>
  <c r="O58" i="2" s="1"/>
  <c r="O13" i="5"/>
  <c r="C11" i="2"/>
  <c r="O11" i="2" s="1"/>
  <c r="O65" i="3"/>
  <c r="G66" i="3"/>
  <c r="G73" i="2" s="1"/>
  <c r="L51" i="11"/>
  <c r="L8" i="2"/>
  <c r="L69" i="2" s="1"/>
  <c r="L76" i="2" s="1"/>
  <c r="G93" i="7"/>
  <c r="G94" i="7" s="1"/>
  <c r="G95" i="7" s="1"/>
  <c r="G96" i="7" s="1"/>
  <c r="G69" i="7"/>
  <c r="O32" i="3"/>
  <c r="C21" i="2"/>
  <c r="O21" i="2" s="1"/>
  <c r="O16" i="3"/>
  <c r="C46" i="2"/>
  <c r="O46" i="2" s="1"/>
  <c r="L38" i="2"/>
  <c r="L30" i="2"/>
  <c r="L22" i="2"/>
  <c r="L34" i="2"/>
  <c r="L14" i="2"/>
  <c r="L18" i="2"/>
  <c r="L6" i="2"/>
  <c r="L26" i="2"/>
  <c r="L10" i="2"/>
  <c r="L42" i="2"/>
  <c r="O42" i="5"/>
  <c r="C43" i="2"/>
  <c r="O43" i="2" s="1"/>
  <c r="O25" i="11"/>
  <c r="C32" i="2"/>
  <c r="O32" i="2" s="1"/>
  <c r="G70" i="2"/>
  <c r="I76" i="2"/>
  <c r="G67" i="2"/>
  <c r="G74" i="2" s="1"/>
  <c r="E42" i="2"/>
  <c r="E18" i="2"/>
  <c r="E26" i="2"/>
  <c r="E10" i="2"/>
  <c r="E6" i="2"/>
  <c r="E30" i="2"/>
  <c r="E14" i="2"/>
  <c r="E22" i="2"/>
  <c r="E38" i="2"/>
  <c r="E34" i="2"/>
  <c r="O36" i="5"/>
  <c r="C35" i="2"/>
  <c r="O35" i="2" s="1"/>
  <c r="D141" i="7"/>
  <c r="F141" i="7" s="1"/>
  <c r="C51" i="11"/>
  <c r="G70" i="7"/>
  <c r="G71" i="7" s="1"/>
  <c r="O39" i="5"/>
  <c r="C39" i="2"/>
  <c r="O39" i="2" s="1"/>
  <c r="G58" i="7"/>
  <c r="G59" i="7" s="1"/>
  <c r="G60" i="7" s="1"/>
  <c r="G61" i="7" s="1"/>
  <c r="G62" i="7" s="1"/>
  <c r="G63" i="7" s="1"/>
  <c r="M36" i="4"/>
  <c r="M74" i="2" s="1"/>
  <c r="O56" i="2"/>
  <c r="P50" i="11"/>
  <c r="O9" i="4"/>
  <c r="C38" i="2"/>
  <c r="C34" i="2"/>
  <c r="O34" i="2" s="1"/>
  <c r="C26" i="2"/>
  <c r="C42" i="2"/>
  <c r="C10" i="2"/>
  <c r="C22" i="2"/>
  <c r="C18" i="2"/>
  <c r="C14" i="2"/>
  <c r="C30" i="2"/>
  <c r="C6" i="2"/>
  <c r="P35" i="4"/>
  <c r="E147" i="7"/>
  <c r="F147" i="7" s="1"/>
  <c r="M61" i="2"/>
  <c r="M66" i="3"/>
  <c r="O45" i="5"/>
  <c r="C48" i="2"/>
  <c r="O48" i="2" s="1"/>
  <c r="O22" i="4"/>
  <c r="F51" i="11"/>
  <c r="F8" i="2"/>
  <c r="F69" i="2" s="1"/>
  <c r="F76" i="2" s="1"/>
  <c r="G129" i="7"/>
  <c r="G130" i="7" s="1"/>
  <c r="G131" i="7" s="1"/>
  <c r="G132" i="7" s="1"/>
  <c r="G133" i="7" s="1"/>
  <c r="G134" i="7" s="1"/>
  <c r="G135" i="7" s="1"/>
  <c r="D142" i="7"/>
  <c r="F142" i="7" s="1"/>
  <c r="F10" i="7"/>
  <c r="F121" i="7"/>
  <c r="J36" i="4"/>
  <c r="J47" i="2"/>
  <c r="H61" i="2"/>
  <c r="H66" i="2" s="1"/>
  <c r="H66" i="3"/>
  <c r="J57" i="5"/>
  <c r="J75" i="2" s="1"/>
  <c r="O24" i="5"/>
  <c r="C23" i="2"/>
  <c r="O23" i="2" s="1"/>
  <c r="O20" i="5"/>
  <c r="C19" i="2"/>
  <c r="O19" i="2" s="1"/>
  <c r="P65" i="3"/>
  <c r="I66" i="3"/>
  <c r="C8" i="1"/>
  <c r="O47" i="2" l="1"/>
  <c r="O10" i="2"/>
  <c r="O30" i="2"/>
  <c r="L70" i="2"/>
  <c r="L73" i="2"/>
  <c r="G141" i="7"/>
  <c r="G142" i="7" s="1"/>
  <c r="G143" i="7" s="1"/>
  <c r="G144" i="7" s="1"/>
  <c r="G145" i="7" s="1"/>
  <c r="G146" i="7" s="1"/>
  <c r="G147" i="7" s="1"/>
  <c r="K73" i="2"/>
  <c r="K70" i="2"/>
  <c r="G140" i="7"/>
  <c r="H73" i="2"/>
  <c r="H70" i="2"/>
  <c r="E67" i="2"/>
  <c r="E74" i="2" s="1"/>
  <c r="G52" i="8"/>
  <c r="C52" i="7" s="1"/>
  <c r="F64" i="8"/>
  <c r="C68" i="2"/>
  <c r="O7" i="2"/>
  <c r="O68" i="2" s="1"/>
  <c r="P66" i="3"/>
  <c r="O42" i="2"/>
  <c r="L67" i="2"/>
  <c r="L74" i="2" s="1"/>
  <c r="E70" i="2"/>
  <c r="E73" i="2"/>
  <c r="O12" i="2"/>
  <c r="C69" i="2"/>
  <c r="J67" i="2"/>
  <c r="P57" i="5"/>
  <c r="G97" i="7"/>
  <c r="G98" i="7" s="1"/>
  <c r="G99" i="7" s="1"/>
  <c r="G121" i="7"/>
  <c r="G122" i="7" s="1"/>
  <c r="G123" i="7" s="1"/>
  <c r="O26" i="2"/>
  <c r="O57" i="5"/>
  <c r="D75" i="2"/>
  <c r="G10" i="7"/>
  <c r="G11" i="7" s="1"/>
  <c r="G12" i="7" s="1"/>
  <c r="G13" i="7" s="1"/>
  <c r="G14" i="7" s="1"/>
  <c r="G15" i="7" s="1"/>
  <c r="C67" i="2"/>
  <c r="O6" i="2"/>
  <c r="G39" i="7"/>
  <c r="D57" i="2"/>
  <c r="D67" i="2" s="1"/>
  <c r="D36" i="4"/>
  <c r="P36" i="4" s="1"/>
  <c r="I70" i="2"/>
  <c r="I73" i="2"/>
  <c r="O38" i="2"/>
  <c r="F70" i="2"/>
  <c r="F73" i="2"/>
  <c r="O14" i="2"/>
  <c r="O36" i="4"/>
  <c r="L75" i="2"/>
  <c r="O5" i="2"/>
  <c r="C66" i="2"/>
  <c r="G77" i="8"/>
  <c r="C77" i="7" s="1"/>
  <c r="F89" i="8"/>
  <c r="K74" i="2"/>
  <c r="D69" i="2"/>
  <c r="D76" i="2" s="1"/>
  <c r="O8" i="2"/>
  <c r="O18" i="2"/>
  <c r="G76" i="2"/>
  <c r="O62" i="2"/>
  <c r="O51" i="11"/>
  <c r="O66" i="3"/>
  <c r="M70" i="2"/>
  <c r="M73" i="2"/>
  <c r="I74" i="2"/>
  <c r="N70" i="2"/>
  <c r="D73" i="2"/>
  <c r="O22" i="2"/>
  <c r="P51" i="11"/>
  <c r="O61" i="2"/>
  <c r="D74" i="2" l="1"/>
  <c r="D70" i="2"/>
  <c r="P67" i="2"/>
  <c r="C74" i="2"/>
  <c r="O57" i="2"/>
  <c r="O67" i="2" s="1"/>
  <c r="C75" i="2"/>
  <c r="P68" i="2"/>
  <c r="G64" i="8"/>
  <c r="C64" i="7" s="1"/>
  <c r="F76" i="8"/>
  <c r="G89" i="8"/>
  <c r="C89" i="7" s="1"/>
  <c r="F101" i="8"/>
  <c r="C73" i="2"/>
  <c r="P66" i="2"/>
  <c r="C70" i="2"/>
  <c r="O66" i="2"/>
  <c r="J74" i="2"/>
  <c r="J70" i="2"/>
  <c r="O69" i="2"/>
  <c r="P69" i="2"/>
  <c r="C76" i="2"/>
  <c r="F113" i="8" l="1"/>
  <c r="G101" i="8"/>
  <c r="C101" i="7" s="1"/>
  <c r="G76" i="8"/>
  <c r="C76" i="7" s="1"/>
  <c r="F88" i="8"/>
  <c r="P70" i="2"/>
  <c r="O70" i="2"/>
  <c r="G113" i="8" l="1"/>
  <c r="C113" i="7" s="1"/>
  <c r="C137" i="7" s="1"/>
  <c r="F125" i="8"/>
  <c r="G125" i="8" s="1"/>
  <c r="C125" i="7" s="1"/>
  <c r="F100" i="8"/>
  <c r="G88" i="8"/>
  <c r="C88" i="7" s="1"/>
  <c r="G100" i="8" l="1"/>
  <c r="C100" i="7" s="1"/>
  <c r="F112" i="8"/>
  <c r="C136" i="7" l="1"/>
  <c r="G112" i="8"/>
  <c r="C112" i="7" s="1"/>
  <c r="F124" i="8"/>
  <c r="G124" i="8" s="1"/>
  <c r="C124" i="7" s="1"/>
</calcChain>
</file>

<file path=xl/comments1.xml><?xml version="1.0" encoding="utf-8"?>
<comments xmlns="http://schemas.openxmlformats.org/spreadsheetml/2006/main">
  <authors>
    <author>John Elliott</author>
    <author>Student1</author>
  </authors>
  <commentList>
    <comment ref="H51" authorId="0" shapeId="0">
      <text>
        <r>
          <rPr>
            <sz val="10"/>
            <rFont val="Arial"/>
          </rPr>
          <t>John Elliott:
Credit from previous incorrect meter reads is applied</t>
        </r>
      </text>
    </comment>
    <comment ref="D74" authorId="1" shapeId="0">
      <text>
        <r>
          <rPr>
            <sz val="10"/>
            <rFont val="Arial"/>
          </rPr>
          <t>Student1:
Make sure that it is not counting the overcharge anymore.</t>
        </r>
      </text>
    </comment>
  </commentList>
</comments>
</file>

<file path=xl/comments2.xml><?xml version="1.0" encoding="utf-8"?>
<comments xmlns="http://schemas.openxmlformats.org/spreadsheetml/2006/main">
  <authors>
    <author>ucmuser</author>
  </authors>
  <commentList>
    <comment ref="I15" authorId="0" shapeId="0">
      <text>
        <r>
          <rPr>
            <sz val="10"/>
            <rFont val="Arial"/>
          </rPr>
          <t>gpicazo: average of last 2 years. Extrapolation was at 12%</t>
        </r>
      </text>
    </comment>
    <comment ref="J15" authorId="0" shapeId="0">
      <text>
        <r>
          <rPr>
            <sz val="10"/>
            <rFont val="Arial"/>
          </rPr>
          <t>gpicazo: average 2 years</t>
        </r>
      </text>
    </comment>
    <comment ref="I18" authorId="0" shapeId="0">
      <text>
        <r>
          <rPr>
            <sz val="10"/>
            <rFont val="Arial"/>
          </rPr>
          <t>ucmuser:
Average</t>
        </r>
      </text>
    </comment>
    <comment ref="I25" authorId="0" shapeId="0">
      <text>
        <r>
          <rPr>
            <sz val="10"/>
            <rFont val="Arial"/>
          </rPr>
          <t>ucmuser:
average</t>
        </r>
      </text>
    </comment>
    <comment ref="I28" authorId="0" shapeId="0">
      <text>
        <r>
          <rPr>
            <sz val="10"/>
            <rFont val="Arial"/>
          </rPr>
          <t>ucmuser:
average</t>
        </r>
      </text>
    </comment>
    <comment ref="I31" authorId="0" shapeId="0">
      <text>
        <r>
          <rPr>
            <sz val="10"/>
            <rFont val="Arial"/>
          </rPr>
          <t>ucmuser:
average</t>
        </r>
      </text>
    </comment>
    <comment ref="I34" authorId="0" shapeId="0">
      <text>
        <r>
          <rPr>
            <sz val="10"/>
            <rFont val="Arial"/>
          </rPr>
          <t>ucmuser:
average</t>
        </r>
      </text>
    </comment>
    <comment ref="I37" authorId="0" shapeId="0">
      <text>
        <r>
          <rPr>
            <sz val="10"/>
            <rFont val="Arial"/>
          </rPr>
          <t>ucmuser:
average</t>
        </r>
      </text>
    </comment>
    <comment ref="I40" authorId="0" shapeId="0">
      <text>
        <r>
          <rPr>
            <sz val="10"/>
            <rFont val="Arial"/>
          </rPr>
          <t>ucmuser:
average</t>
        </r>
      </text>
    </comment>
    <comment ref="I43" authorId="0" shapeId="0">
      <text>
        <r>
          <rPr>
            <sz val="10"/>
            <rFont val="Arial"/>
          </rPr>
          <t>ucmuser:
average</t>
        </r>
      </text>
    </comment>
    <comment ref="I46" authorId="0" shapeId="0">
      <text>
        <r>
          <rPr>
            <sz val="10"/>
            <rFont val="Arial"/>
          </rPr>
          <t>ucmuser:
average</t>
        </r>
      </text>
    </comment>
  </commentList>
</comments>
</file>

<file path=xl/comments3.xml><?xml version="1.0" encoding="utf-8"?>
<comments xmlns="http://schemas.openxmlformats.org/spreadsheetml/2006/main">
  <authors>
    <author>ucmuser</author>
    <author>mcuser</author>
    <author>FMEnergy</author>
    <author>James Ly</author>
    <author>Ashley Chiang</author>
    <author>Student1</author>
  </authors>
  <commentList>
    <comment ref="B5" authorId="0" shapeId="0">
      <text>
        <r>
          <rPr>
            <sz val="10"/>
            <rFont val="Arial"/>
          </rPr>
          <t>ucmuser:
= PGE 0646833510 UCM_Gas</t>
        </r>
      </text>
    </comment>
    <comment ref="E12" authorId="1" shapeId="0">
      <text>
        <r>
          <rPr>
            <sz val="10"/>
            <rFont val="Arial"/>
          </rPr>
          <t>Kanoa: Meter is broken. 
Averaged last two years</t>
        </r>
      </text>
    </comment>
    <comment ref="F12" authorId="0" shapeId="0">
      <text>
        <r>
          <rPr>
            <sz val="10"/>
            <rFont val="Arial"/>
          </rPr>
          <t>Gabriel: Average of last two years</t>
        </r>
      </text>
    </comment>
    <comment ref="G12" authorId="0" shapeId="0">
      <text>
        <r>
          <rPr>
            <sz val="10"/>
            <rFont val="Arial"/>
          </rPr>
          <t>Gabriel: average usage from 2015/16 recharges</t>
        </r>
      </text>
    </comment>
    <comment ref="H12" authorId="0" shapeId="0">
      <text>
        <r>
          <rPr>
            <sz val="10"/>
            <rFont val="Arial"/>
          </rPr>
          <t>ucmuser:
meter broken, avg of last two years</t>
        </r>
      </text>
    </comment>
    <comment ref="I12" authorId="2" shapeId="0">
      <text>
        <r>
          <rPr>
            <sz val="10"/>
            <rFont val="Arial"/>
          </rPr>
          <t>FMEnergy:
last 2 year average</t>
        </r>
      </text>
    </comment>
    <comment ref="K12" authorId="3" shapeId="0">
      <text>
        <r>
          <rPr>
            <sz val="10"/>
            <rFont val="Arial"/>
          </rPr>
          <t>James Ly:
Last 2 years' average</t>
        </r>
      </text>
    </comment>
    <comment ref="M12" authorId="0" shapeId="0">
      <text>
        <r>
          <rPr>
            <sz val="10"/>
            <rFont val="Arial"/>
          </rPr>
          <t>ucmuser:
2014 and 2015 average-Gp</t>
        </r>
      </text>
    </comment>
    <comment ref="A16" authorId="4" shapeId="0">
      <text>
        <r>
          <rPr>
            <sz val="10"/>
            <rFont val="Arial"/>
          </rPr>
          <t>Ashley Chiang:
Muir pass</t>
        </r>
      </text>
    </comment>
    <comment ref="A34" authorId="5" shapeId="0">
      <text>
        <r>
          <rPr>
            <sz val="10"/>
            <rFont val="Arial"/>
          </rPr>
          <t>Daniel:2,000 extra therms were added to Jun 2012 in Cathedral.</t>
        </r>
      </text>
    </comment>
  </commentList>
</comments>
</file>

<file path=xl/comments4.xml><?xml version="1.0" encoding="utf-8"?>
<comments xmlns="http://schemas.openxmlformats.org/spreadsheetml/2006/main">
  <authors>
    <author>ucmuser</author>
  </authors>
  <commentList>
    <comment ref="B5" authorId="0" shapeId="0">
      <text>
        <r>
          <rPr>
            <sz val="10"/>
            <rFont val="Arial"/>
          </rPr>
          <t>ucmuser:
=City of Merced (Actual*748/1000)/$</t>
        </r>
      </text>
    </comment>
    <comment ref="D8" authorId="0" shapeId="0">
      <text>
        <r>
          <rPr>
            <sz val="10"/>
            <rFont val="Arial"/>
          </rPr>
          <t>ucmuser:
keep an eye on meter, avg of two years</t>
        </r>
      </text>
    </comment>
    <comment ref="D44" authorId="0" shapeId="0">
      <text>
        <r>
          <rPr>
            <sz val="10"/>
            <rFont val="Arial"/>
          </rPr>
          <t>ucmuser:
keep an eye on this</t>
        </r>
      </text>
    </comment>
  </commentList>
</comments>
</file>

<file path=xl/comments5.xml><?xml version="1.0" encoding="utf-8"?>
<comments xmlns="http://schemas.openxmlformats.org/spreadsheetml/2006/main">
  <authors>
    <author>John Elliott</author>
  </authors>
  <commentList>
    <comment ref="C140" authorId="0" shapeId="0">
      <text>
        <r>
          <rPr>
            <sz val="10"/>
            <rFont val="Arial"/>
          </rPr>
          <t>John Elliott:
Corrected from previous versions</t>
        </r>
      </text>
    </comment>
    <comment ref="F140" authorId="0" shapeId="0">
      <text>
        <r>
          <rPr>
            <sz val="10"/>
            <rFont val="Arial"/>
          </rPr>
          <t>John Elliott:
Corrected from previous versions</t>
        </r>
      </text>
    </comment>
  </commentList>
</comments>
</file>

<file path=xl/comments6.xml><?xml version="1.0" encoding="utf-8"?>
<comments xmlns="http://schemas.openxmlformats.org/spreadsheetml/2006/main">
  <authors>
    <author>Sajid Mian</author>
  </authors>
  <commentList>
    <comment ref="D7" authorId="0" shapeId="0">
      <text>
        <r>
          <rPr>
            <sz val="10"/>
            <rFont val="Arial"/>
          </rPr>
          <t>Sajid Mian:
Reset the waterr meter at Dining- on previous visit</t>
        </r>
      </text>
    </comment>
    <comment ref="D19" authorId="0" shapeId="0">
      <text>
        <r>
          <rPr>
            <sz val="10"/>
            <rFont val="Arial"/>
          </rPr>
          <t>Sajid Mian:
Ramon took meter readings on 5/2/06. Had great difficulty to access the meter</t>
        </r>
      </text>
    </comment>
    <comment ref="D106" authorId="0" shapeId="0">
      <text>
        <r>
          <rPr>
            <sz val="10"/>
            <rFont val="Arial"/>
          </rPr>
          <t>Sajid Mian:
Water meter has been reset</t>
        </r>
      </text>
    </comment>
  </commentList>
</comments>
</file>

<file path=xl/comments7.xml><?xml version="1.0" encoding="utf-8"?>
<comments xmlns="http://schemas.openxmlformats.org/spreadsheetml/2006/main">
  <authors>
    <author>ucmuser</author>
    <author>FMEnergy</author>
  </authors>
  <commentList>
    <comment ref="I6" authorId="0" shapeId="0">
      <text>
        <r>
          <rPr>
            <sz val="10"/>
            <rFont val="Arial"/>
          </rPr>
          <t>ucmuser:
All of vt are averaged of previous 2 years</t>
        </r>
      </text>
    </comment>
    <comment ref="A30" authorId="0" shapeId="0">
      <text>
        <r>
          <rPr>
            <sz val="10"/>
            <rFont val="Arial"/>
          </rPr>
          <t>ucmuser:
Return temp broken, value based on averages from other halls. Used average gallon usage per square foot</t>
        </r>
      </text>
    </comment>
    <comment ref="K36" authorId="1" shapeId="0">
      <text>
        <r>
          <rPr>
            <sz val="10"/>
            <rFont val="Arial"/>
          </rPr>
          <t>FMEnergy:
manually calculated from alc</t>
        </r>
      </text>
    </comment>
  </commentList>
</comments>
</file>

<file path=xl/sharedStrings.xml><?xml version="1.0" encoding="utf-8"?>
<sst xmlns="http://schemas.openxmlformats.org/spreadsheetml/2006/main" count="859" uniqueCount="187">
  <si>
    <t>Load Shape</t>
  </si>
  <si>
    <t>Total</t>
  </si>
  <si>
    <t>Housing Utility Summary</t>
  </si>
  <si>
    <t>Building</t>
  </si>
  <si>
    <t>Billing Month</t>
  </si>
  <si>
    <t>Check</t>
  </si>
  <si>
    <t>TERRACE CENTER</t>
  </si>
  <si>
    <t>Electricity</t>
  </si>
  <si>
    <t>COMMONS</t>
  </si>
  <si>
    <t>Gas</t>
  </si>
  <si>
    <t>Water</t>
  </si>
  <si>
    <t>Chilled Water</t>
  </si>
  <si>
    <t>KERN HALL</t>
  </si>
  <si>
    <t>TULARE HALL</t>
  </si>
  <si>
    <t>MADERA HALL</t>
  </si>
  <si>
    <t>KINGS HALL</t>
  </si>
  <si>
    <t xml:space="preserve"> </t>
  </si>
  <si>
    <t>FRESNO HALL</t>
  </si>
  <si>
    <t>STANISLAUS</t>
  </si>
  <si>
    <t>HALL</t>
  </si>
  <si>
    <t>SAN JOAQUIN</t>
  </si>
  <si>
    <t>MERCED HALL</t>
  </si>
  <si>
    <t>CALAVERAS</t>
  </si>
  <si>
    <t xml:space="preserve">SIERRA </t>
  </si>
  <si>
    <t>TERRACES</t>
  </si>
  <si>
    <t>Summits - Tenaya</t>
  </si>
  <si>
    <t>(East)</t>
  </si>
  <si>
    <t>Summits - Cathedral</t>
  </si>
  <si>
    <t>(West)</t>
  </si>
  <si>
    <t>Summits - Half Dome</t>
  </si>
  <si>
    <t>CHECK Elec</t>
  </si>
  <si>
    <t>CHECK Gas</t>
  </si>
  <si>
    <t>CHECK Wat</t>
  </si>
  <si>
    <t>CHECK CHW</t>
  </si>
  <si>
    <t>Notes:</t>
  </si>
  <si>
    <t>(a) Electricity usage readings are available for each building separately.</t>
  </si>
  <si>
    <t>(b) Water meter readings are available for Valley Dining and Terrace Center Commons, Tulare, Kern, and San Joaquin Halls only.</t>
  </si>
  <si>
    <t xml:space="preserve">     Other housing buildings are estimated based on a size-weighted average of readings for Tulare, Kern, and San Joaquin Halls.</t>
  </si>
  <si>
    <t xml:space="preserve">     Full-size buildings are 2/5 times (Tulare + Kern + San Joaquin Hall readings)</t>
  </si>
  <si>
    <t xml:space="preserve">     Half-size buildings are 1/5 times (Tulare + Kern + San Joaquin Hall readings)</t>
  </si>
  <si>
    <t>(c) Gas meter readings at Valley terraces are available for 2 locations only: HOUSING/COMMONS/DINING &amp; KITCHEN and LAUNDRY.</t>
  </si>
  <si>
    <t xml:space="preserve">     Individual buildings are estimated based on a weighted average of the two readings.</t>
  </si>
  <si>
    <t xml:space="preserve">     Valley Dining and Terrace Center Commons are 4/24 times the sum of both readings</t>
  </si>
  <si>
    <t xml:space="preserve">     Full-size housing buildings are 2/24 times the sum of both readings</t>
  </si>
  <si>
    <t xml:space="preserve">     Half-size housing buildings are 1/24 times the sum of both readings</t>
  </si>
  <si>
    <t>(d) Chilled water usage readings are available through metering for each building separately.</t>
  </si>
  <si>
    <t>Read Date</t>
  </si>
  <si>
    <t>Unit Cost
($/kWh) (a)</t>
  </si>
  <si>
    <t>Cathedral</t>
  </si>
  <si>
    <t>Usage (kWh)</t>
  </si>
  <si>
    <t>Charges</t>
  </si>
  <si>
    <t>Half Dome</t>
  </si>
  <si>
    <t>Tenaya</t>
  </si>
  <si>
    <t>SIERRA TERRACES</t>
  </si>
  <si>
    <t>vt_CALAVERAS HALL</t>
  </si>
  <si>
    <t>vt_commons (Terrace Center Commons)</t>
  </si>
  <si>
    <t>Reading (kWh)</t>
  </si>
  <si>
    <t>vt_FRESNO HALL</t>
  </si>
  <si>
    <t>vt_KERN HALL</t>
  </si>
  <si>
    <t>vt_KINGS HALL</t>
  </si>
  <si>
    <t>vt_MADERA HALL</t>
  </si>
  <si>
    <t>vt_MERCED HALL</t>
  </si>
  <si>
    <t>vt_SAN JOAQUIN HALL</t>
  </si>
  <si>
    <t>vt_STANISLAUS HALL</t>
  </si>
  <si>
    <t>vt_TULARE HALL</t>
  </si>
  <si>
    <t>Summits Overcharge</t>
  </si>
  <si>
    <t>Summits Credit</t>
  </si>
  <si>
    <t>Total Usage (kWh)</t>
  </si>
  <si>
    <t>Total Charges</t>
  </si>
  <si>
    <t>(a) Unit Cost is calculated from the main campus feeder (El Capitan) bill from PG&amp;E.</t>
  </si>
  <si>
    <t>(b) The total for the Dining portion for Jovanna</t>
  </si>
  <si>
    <t>Natural Gas</t>
  </si>
  <si>
    <t>Unit Cost
($/therm) (a)</t>
  </si>
  <si>
    <t>DINING BOILER (d)</t>
  </si>
  <si>
    <t>Reading
(100 x cub-ft)</t>
  </si>
  <si>
    <t>Usage
(therms)</t>
  </si>
  <si>
    <t xml:space="preserve">Charges
</t>
  </si>
  <si>
    <t>LAUNDRY</t>
  </si>
  <si>
    <t>Current Meter
(100 x cub-ft)</t>
  </si>
  <si>
    <t>Over Charge at Summits</t>
  </si>
  <si>
    <t>Amount Over Charged:</t>
  </si>
  <si>
    <t>Total Usage (therms)</t>
  </si>
  <si>
    <t>Total Charges (c )</t>
  </si>
  <si>
    <t>(a) Unit Cost is calculated from the main campus supply bill from PG&amp;E.</t>
  </si>
  <si>
    <t>(b) There is multiple redudant metering for gas at Sierra Terraces. The reported reading is chosen first from manual readings at the common meter if available, then independent Bldg 1 and 2 meters if available,  and then totalized readings in ALC when other readings are not available.</t>
  </si>
  <si>
    <t>(c) O30 is calculated by excluding the amount of gas that is used by dining in order to prevent double charging.</t>
  </si>
  <si>
    <t>(d) This section is used to calculate Valley Terrace gas consumption.</t>
  </si>
  <si>
    <t>Water and Sewer</t>
  </si>
  <si>
    <t>BUILDING</t>
  </si>
  <si>
    <t>Unit Cost
($/1000 gal)</t>
  </si>
  <si>
    <t xml:space="preserve">TERRACE </t>
  </si>
  <si>
    <t>Reading (gal)</t>
  </si>
  <si>
    <t>CENTER COMMONS</t>
  </si>
  <si>
    <t>Usage (gal)</t>
  </si>
  <si>
    <t>STANISLAUS HALL</t>
  </si>
  <si>
    <t>SAN JOAQUIN HALL</t>
  </si>
  <si>
    <t>CALAVERAS HALL</t>
  </si>
  <si>
    <t>(Tuolumne/Mariposa Halls)</t>
  </si>
  <si>
    <t>Total Usage (gal)</t>
  </si>
  <si>
    <t>(a) Unit Cost is calculated from the main campus supply bill from the City of Merced.</t>
  </si>
  <si>
    <t>(c) Beginning Sept 2011, water reading are based on more accurate metering in Aquacue system for Commons, Kern, Tulare, Mad, Kings, Fre, Stan, San J, Merced, Cal</t>
  </si>
  <si>
    <t xml:space="preserve">Water </t>
  </si>
  <si>
    <t>VALLEY DINING COMMONS</t>
  </si>
  <si>
    <t>Reading (100 x cub-ft)</t>
  </si>
  <si>
    <t>TERRACE CENTER COMMONS</t>
  </si>
  <si>
    <t>GALLO REC AND WELLNESS</t>
  </si>
  <si>
    <t>Utilities Summary for Valley Terraces - Fiscal Year 2006-2007</t>
  </si>
  <si>
    <t>Water &amp;
Sewer</t>
  </si>
  <si>
    <t>Monthly
Total</t>
  </si>
  <si>
    <t>Cumulative
Total</t>
  </si>
  <si>
    <t xml:space="preserve">VALLEY DINING COMMONS </t>
  </si>
  <si>
    <t>January</t>
  </si>
  <si>
    <t>-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</si>
  <si>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</si>
  <si>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</si>
  <si>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</si>
  <si>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</si>
  <si>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</si>
  <si>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</si>
  <si>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</si>
  <si>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</si>
  <si>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</si>
  <si>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</si>
  <si>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</si>
  <si>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</si>
  <si>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(a) Electricity bills are based on manual reads of meters for each building.</t>
  </si>
  <si>
    <t>(c) Gas meter readings are available for 2 locations only: HOUSING/COMMONS/DINING &amp; KITCHEN and LAUNDRY.</t>
  </si>
  <si>
    <t xml:space="preserve">(d) Water bills for October and November are incomplete, as meter was not read at Terrace Center Commons. Meter read has </t>
  </si>
  <si>
    <t xml:space="preserve">     been requested for early January 2007.</t>
  </si>
  <si>
    <t>Electricity Bill Details - 2006</t>
  </si>
  <si>
    <t>Read
Date</t>
  </si>
  <si>
    <t>Reading
(kWh)</t>
  </si>
  <si>
    <t>Usage
(kWh)</t>
  </si>
  <si>
    <t>JANUARY</t>
  </si>
  <si>
    <t>FEBRUARY</t>
  </si>
  <si>
    <t>Ratio of peak month energy over last year (Oct 06) to Feb 06 energy</t>
  </si>
  <si>
    <t>MARCH</t>
  </si>
  <si>
    <t>Ratio of max summer energy last year (Aug 06) to Feb 06 energy</t>
  </si>
  <si>
    <t>APRIL</t>
  </si>
  <si>
    <t>Ratio of Commons plus Dining annual energy to Dining annual energy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</si>
  <si>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</si>
  <si>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</si>
  <si>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</si>
  <si>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</si>
  <si>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</si>
  <si>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</si>
  <si>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</si>
  <si>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</si>
  <si>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Natural Gas Bill Details - 2006</t>
  </si>
  <si>
    <t>Date</t>
  </si>
  <si>
    <t>Prior Meter 
(100 x cub-ft)</t>
  </si>
  <si>
    <t>HOUSING/COMMONS/DINING &amp; KITCHEN</t>
  </si>
  <si>
    <t>Water &amp; Sewer Bill Details - 2006</t>
  </si>
  <si>
    <t>Reading
(gal)</t>
  </si>
  <si>
    <t>Usage
(gal)</t>
  </si>
  <si>
    <t>VALLEY DINING COMMONS
(metered)</t>
  </si>
  <si>
    <t>TERRACE CENTER COMMONS
(metered)</t>
  </si>
  <si>
    <t>not read</t>
  </si>
  <si>
    <t>KERN HALL
(metered)</t>
  </si>
  <si>
    <t>TULARE HALL
(metered)</t>
  </si>
  <si>
    <t>MADERA HALL
(estimated) (b)</t>
  </si>
  <si>
    <t>KINGS HALL
(estimated) (b)</t>
  </si>
  <si>
    <t>FRESNO HALL
(estimated) (b)</t>
  </si>
  <si>
    <t>STANISLAUS HALL
(estimated) (b)</t>
  </si>
  <si>
    <t>SAN JOAQUIN HALL
(metered)</t>
  </si>
  <si>
    <t>MERCED HALL
(estimated) (b)</t>
  </si>
  <si>
    <t>CALAVERAS HALL
(estimated) (b)</t>
  </si>
  <si>
    <t>(b) Estimated bills are a size-weighted average of readings for Tulare, Kern, and San Joaquin Halls.</t>
  </si>
  <si>
    <t>Unit Cost
($/ton-hr)</t>
  </si>
  <si>
    <t>Usage (ton-hr)</t>
  </si>
  <si>
    <t>0219</t>
  </si>
  <si>
    <t>0216</t>
  </si>
  <si>
    <t>0217</t>
  </si>
  <si>
    <t>0220</t>
  </si>
  <si>
    <t>0221</t>
  </si>
  <si>
    <t>0218</t>
  </si>
  <si>
    <t>0222</t>
  </si>
  <si>
    <t>0224</t>
  </si>
  <si>
    <t>0223</t>
  </si>
  <si>
    <t>0212</t>
  </si>
  <si>
    <t>0227</t>
  </si>
  <si>
    <t>0225</t>
  </si>
  <si>
    <t>Total Usage (ton-hr)</t>
  </si>
  <si>
    <t>(a) Unit Cost is calculated from the main campus electricity feeder (El Capitan) bill from PG&amp;E and an average plant efficiency of 0.75 kW/ton.</t>
  </si>
  <si>
    <t>(b) Chilled water data was not available for 18 days of November. Therefore, recorded chilled water flows are corrected by a factor of 30/12.</t>
  </si>
  <si>
    <t>(c) Due to a database problem in the energy management control system, chilled water trend data to calculate recharges is not available for Dec-09 through Mar-10.</t>
  </si>
  <si>
    <t xml:space="preserve">     Mar-10 values are totals of chilled water usage from Dec-08 through Mar-09 with current average water rates from Dec-09 through Mar-10.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</si>
</sst>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#,##0.0000"/>
    <numFmt numFmtId="166" formatCode="0.0%"/>
    <numFmt numFmtId="167" formatCode="_(&quot;$&quot;* #,##0.000000_);_(&quot;$&quot;* \(#,##0.000000\);_(&quot;$&quot;* &quot;-&quot;??????_);_(@_)"/>
    <numFmt numFmtId="168" formatCode="#,##0;[Red]#,##0"/>
    <numFmt numFmtId="169" formatCode="0.0"/>
    <numFmt numFmtId="170" formatCode="&quot;$&quot;#,##0"/>
    <numFmt numFmtId="171" formatCode="m/d/yy;@"/>
    <numFmt numFmtId="172" formatCode="[$-409]mmm\-yy;@"/>
    <numFmt numFmtId="173" formatCode="0.0000"/>
    <numFmt numFmtId="174" formatCode="_(* #,##0_);_(* \(#,##0\);_(* &quot;-&quot;??_);_(@_)"/>
    <numFmt numFmtId="175" formatCode="\$#,##0.00"/>
    <numFmt numFmtId="176" formatCode="m/d/yy\ h:mm:ss"/>
    <numFmt numFmtId="177" formatCode="&quot;$&quot;#,##0.000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0" fontId="18" fillId="0" borderId="0"/>
    <xf numFmtId="0" fontId="18" fillId="0" borderId="0"/>
    <xf numFmtId="44" fontId="18" fillId="0" borderId="0"/>
    <xf numFmtId="0" fontId="18" fillId="0" borderId="0"/>
    <xf numFmtId="0" fontId="18" fillId="0" borderId="0"/>
    <xf numFmtId="44" fontId="18" fillId="0" borderId="0"/>
    <xf numFmtId="0" fontId="1" fillId="0" borderId="0"/>
    <xf numFmtId="0" fontId="1" fillId="5" borderId="9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</cellStyleXfs>
  <cellXfs count="230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14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6" fillId="0" borderId="0" xfId="0" applyFont="1"/>
    <xf numFmtId="3" fontId="6" fillId="0" borderId="0" xfId="0" applyNumberFormat="1" applyFont="1" applyAlignment="1">
      <alignment horizontal="center"/>
    </xf>
    <xf numFmtId="3" fontId="0" fillId="0" borderId="0" xfId="0" applyNumberFormat="1"/>
    <xf numFmtId="3" fontId="6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" fontId="6" fillId="0" borderId="0" xfId="0" applyNumberFormat="1" applyFont="1" applyAlignment="1">
      <alignment horizontal="center"/>
    </xf>
    <xf numFmtId="4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3" fontId="9" fillId="0" borderId="0" xfId="0" applyNumberFormat="1" applyFont="1"/>
    <xf numFmtId="0" fontId="10" fillId="0" borderId="0" xfId="0" applyFont="1"/>
    <xf numFmtId="0" fontId="11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/>
    </xf>
    <xf numFmtId="14" fontId="12" fillId="0" borderId="1" xfId="0" applyNumberFormat="1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6" fillId="0" borderId="1" xfId="0" applyFont="1" applyBorder="1"/>
    <xf numFmtId="0" fontId="11" fillId="0" borderId="0" xfId="0" applyFont="1"/>
    <xf numFmtId="0" fontId="2" fillId="0" borderId="0" xfId="0" applyFont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0" fillId="2" borderId="0" xfId="0" applyFill="1"/>
    <xf numFmtId="0" fontId="0" fillId="0" borderId="1" xfId="0" applyBorder="1"/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0" fontId="13" fillId="0" borderId="0" xfId="0" applyFont="1"/>
    <xf numFmtId="0" fontId="3" fillId="0" borderId="3" xfId="0" applyFont="1" applyBorder="1" applyAlignment="1">
      <alignment vertical="top"/>
    </xf>
    <xf numFmtId="3" fontId="3" fillId="0" borderId="0" xfId="0" applyNumberFormat="1" applyFont="1"/>
    <xf numFmtId="0" fontId="3" fillId="0" borderId="2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3" fillId="0" borderId="3" xfId="0" applyFont="1" applyBorder="1"/>
    <xf numFmtId="0" fontId="3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3" fontId="15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3" fontId="15" fillId="0" borderId="1" xfId="0" applyNumberFormat="1" applyFont="1" applyBorder="1" applyAlignment="1">
      <alignment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/>
    <xf numFmtId="0" fontId="3" fillId="0" borderId="0" xfId="0" quotePrefix="1" applyFont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 vertical="top" wrapText="1"/>
    </xf>
    <xf numFmtId="0" fontId="3" fillId="0" borderId="3" xfId="0" applyFont="1" applyBorder="1" applyAlignment="1">
      <alignment vertical="top" wrapText="1"/>
    </xf>
    <xf numFmtId="3" fontId="2" fillId="0" borderId="0" xfId="0" applyNumberFormat="1" applyFont="1"/>
    <xf numFmtId="0" fontId="3" fillId="0" borderId="4" xfId="0" applyFont="1" applyBorder="1" applyAlignment="1">
      <alignment horizontal="right"/>
    </xf>
    <xf numFmtId="0" fontId="16" fillId="0" borderId="0" xfId="0" applyFont="1"/>
    <xf numFmtId="3" fontId="3" fillId="0" borderId="0" xfId="0" applyNumberFormat="1" applyFont="1" applyAlignment="1">
      <alignment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2" fillId="0" borderId="3" xfId="0" applyFont="1" applyBorder="1" applyAlignment="1">
      <alignment wrapText="1"/>
    </xf>
    <xf numFmtId="0" fontId="3" fillId="0" borderId="4" xfId="0" applyFont="1" applyBorder="1"/>
    <xf numFmtId="3" fontId="3" fillId="0" borderId="2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wrapText="1"/>
    </xf>
    <xf numFmtId="3" fontId="3" fillId="0" borderId="6" xfId="0" applyNumberFormat="1" applyFont="1" applyBorder="1" applyAlignment="1">
      <alignment wrapText="1"/>
    </xf>
    <xf numFmtId="0" fontId="3" fillId="0" borderId="5" xfId="0" applyFont="1" applyBorder="1" applyAlignment="1">
      <alignment horizontal="left" vertical="top" wrapText="1"/>
    </xf>
    <xf numFmtId="3" fontId="3" fillId="0" borderId="0" xfId="0" applyNumberFormat="1" applyFont="1" applyAlignment="1">
      <alignment vertical="top" wrapText="1"/>
    </xf>
    <xf numFmtId="0" fontId="2" fillId="0" borderId="0" xfId="0" applyFont="1" applyAlignment="1">
      <alignment horizontal="right"/>
    </xf>
    <xf numFmtId="3" fontId="3" fillId="0" borderId="0" xfId="0" applyNumberFormat="1" applyFont="1" applyAlignment="1">
      <alignment horizontal="right" vertical="top" wrapText="1"/>
    </xf>
    <xf numFmtId="3" fontId="2" fillId="0" borderId="0" xfId="0" applyNumberFormat="1" applyFont="1" applyAlignment="1">
      <alignment horizontal="right"/>
    </xf>
    <xf numFmtId="0" fontId="3" fillId="6" borderId="0" xfId="0" applyFont="1" applyFill="1" applyAlignment="1">
      <alignment horizontal="left"/>
    </xf>
    <xf numFmtId="0" fontId="19" fillId="0" borderId="0" xfId="0" applyFont="1"/>
    <xf numFmtId="0" fontId="12" fillId="0" borderId="2" xfId="0" applyFont="1" applyBorder="1"/>
    <xf numFmtId="0" fontId="12" fillId="0" borderId="2" xfId="0" applyFont="1" applyBorder="1" applyAlignment="1">
      <alignment horizontal="right" vertical="top" wrapText="1"/>
    </xf>
    <xf numFmtId="0" fontId="12" fillId="0" borderId="0" xfId="0" applyFont="1" applyAlignment="1">
      <alignment vertical="top" wrapText="1"/>
    </xf>
    <xf numFmtId="0" fontId="12" fillId="0" borderId="3" xfId="0" applyFont="1" applyBorder="1" applyAlignment="1">
      <alignment vertical="top"/>
    </xf>
    <xf numFmtId="0" fontId="12" fillId="0" borderId="3" xfId="0" applyFont="1" applyBorder="1" applyAlignment="1">
      <alignment vertical="top" wrapText="1"/>
    </xf>
    <xf numFmtId="0" fontId="12" fillId="0" borderId="0" xfId="0" applyFont="1" applyAlignment="1">
      <alignment vertical="top"/>
    </xf>
    <xf numFmtId="1" fontId="12" fillId="0" borderId="0" xfId="0" applyNumberFormat="1" applyFont="1"/>
    <xf numFmtId="0" fontId="12" fillId="0" borderId="0" xfId="0" applyFont="1" applyAlignment="1">
      <alignment horizontal="left"/>
    </xf>
    <xf numFmtId="0" fontId="3" fillId="0" borderId="0" xfId="0" applyFont="1" applyAlignment="1">
      <alignment vertical="top" wrapText="1"/>
    </xf>
    <xf numFmtId="0" fontId="12" fillId="0" borderId="5" xfId="0" applyFont="1" applyBorder="1" applyAlignment="1">
      <alignment horizontal="right"/>
    </xf>
    <xf numFmtId="0" fontId="12" fillId="0" borderId="6" xfId="0" applyFont="1" applyBorder="1"/>
    <xf numFmtId="3" fontId="12" fillId="0" borderId="6" xfId="0" applyNumberFormat="1" applyFont="1" applyBorder="1"/>
    <xf numFmtId="0" fontId="2" fillId="6" borderId="0" xfId="0" applyFont="1" applyFill="1"/>
    <xf numFmtId="3" fontId="2" fillId="6" borderId="0" xfId="0" applyNumberFormat="1" applyFont="1" applyFill="1"/>
    <xf numFmtId="0" fontId="3" fillId="0" borderId="5" xfId="0" applyFont="1" applyBorder="1" applyAlignment="1">
      <alignment horizontal="right"/>
    </xf>
    <xf numFmtId="0" fontId="0" fillId="0" borderId="6" xfId="0" applyBorder="1"/>
    <xf numFmtId="0" fontId="0" fillId="0" borderId="7" xfId="0" applyBorder="1" applyAlignment="1">
      <alignment vertical="top"/>
    </xf>
    <xf numFmtId="0" fontId="0" fillId="0" borderId="5" xfId="0" applyBorder="1"/>
    <xf numFmtId="3" fontId="3" fillId="0" borderId="6" xfId="0" applyNumberFormat="1" applyFont="1" applyBorder="1"/>
    <xf numFmtId="0" fontId="0" fillId="0" borderId="7" xfId="0" applyBorder="1"/>
    <xf numFmtId="0" fontId="12" fillId="0" borderId="0" xfId="0" quotePrefix="1" applyFont="1"/>
    <xf numFmtId="0" fontId="12" fillId="0" borderId="3" xfId="0" applyFont="1" applyBorder="1"/>
    <xf numFmtId="3" fontId="3" fillId="0" borderId="0" xfId="0" applyNumberFormat="1" applyFont="1" applyAlignment="1">
      <alignment horizontal="right"/>
    </xf>
    <xf numFmtId="174" fontId="3" fillId="0" borderId="0" xfId="2" quotePrefix="1" applyNumberFormat="1" applyFont="1" applyAlignment="1">
      <alignment horizontal="center"/>
    </xf>
    <xf numFmtId="3" fontId="3" fillId="0" borderId="0" xfId="0" applyNumberFormat="1" applyFont="1" applyAlignment="1">
      <alignment horizontal="right" wrapText="1"/>
    </xf>
    <xf numFmtId="0" fontId="3" fillId="0" borderId="2" xfId="0" applyFont="1" applyBorder="1" applyAlignment="1">
      <alignment vertical="top" wrapText="1"/>
    </xf>
    <xf numFmtId="3" fontId="16" fillId="0" borderId="0" xfId="0" applyNumberFormat="1" applyFont="1" applyAlignment="1">
      <alignment horizontal="right" wrapText="1"/>
    </xf>
    <xf numFmtId="174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 wrapText="1"/>
    </xf>
    <xf numFmtId="0" fontId="12" fillId="0" borderId="0" xfId="0" applyFont="1"/>
    <xf numFmtId="0" fontId="12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74" fontId="3" fillId="0" borderId="0" xfId="0" applyNumberFormat="1" applyFont="1"/>
    <xf numFmtId="174" fontId="20" fillId="0" borderId="0" xfId="0" applyNumberFormat="1" applyFont="1"/>
    <xf numFmtId="175" fontId="12" fillId="0" borderId="0" xfId="0" applyNumberFormat="1" applyFont="1"/>
    <xf numFmtId="174" fontId="12" fillId="0" borderId="0" xfId="5" applyNumberFormat="1" applyFont="1"/>
    <xf numFmtId="0" fontId="2" fillId="0" borderId="8" xfId="4" applyFont="1" applyBorder="1"/>
    <xf numFmtId="0" fontId="2" fillId="0" borderId="0" xfId="0" applyFont="1"/>
    <xf numFmtId="0" fontId="2" fillId="0" borderId="3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Border="1"/>
    <xf numFmtId="0" fontId="2" fillId="0" borderId="0" xfId="4" applyFont="1"/>
    <xf numFmtId="0" fontId="0" fillId="0" borderId="10" xfId="0" applyBorder="1"/>
    <xf numFmtId="3" fontId="21" fillId="0" borderId="0" xfId="0" applyNumberFormat="1" applyFont="1"/>
    <xf numFmtId="16" fontId="3" fillId="0" borderId="0" xfId="0" applyNumberFormat="1" applyFont="1"/>
    <xf numFmtId="43" fontId="3" fillId="0" borderId="0" xfId="0" applyNumberFormat="1" applyFont="1"/>
    <xf numFmtId="3" fontId="12" fillId="8" borderId="0" xfId="0" applyNumberFormat="1" applyFont="1" applyFill="1"/>
    <xf numFmtId="43" fontId="22" fillId="0" borderId="0" xfId="0" applyNumberFormat="1" applyFont="1"/>
    <xf numFmtId="3" fontId="12" fillId="0" borderId="0" xfId="0" applyNumberFormat="1" applyFont="1"/>
    <xf numFmtId="0" fontId="3" fillId="0" borderId="0" xfId="0" applyFont="1" applyAlignment="1">
      <alignment wrapText="1"/>
    </xf>
    <xf numFmtId="16" fontId="12" fillId="0" borderId="0" xfId="0" applyNumberFormat="1" applyFont="1"/>
    <xf numFmtId="0" fontId="12" fillId="0" borderId="0" xfId="5" applyFont="1"/>
    <xf numFmtId="174" fontId="12" fillId="0" borderId="0" xfId="0" applyNumberFormat="1" applyFont="1"/>
    <xf numFmtId="3" fontId="12" fillId="9" borderId="0" xfId="0" applyNumberFormat="1" applyFont="1" applyFill="1"/>
    <xf numFmtId="166" fontId="0" fillId="0" borderId="0" xfId="1" applyNumberFormat="1" applyFont="1"/>
    <xf numFmtId="172" fontId="12" fillId="0" borderId="4" xfId="0" applyNumberFormat="1" applyFont="1" applyBorder="1"/>
    <xf numFmtId="170" fontId="3" fillId="0" borderId="0" xfId="0" applyNumberFormat="1" applyFont="1"/>
    <xf numFmtId="177" fontId="3" fillId="0" borderId="0" xfId="0" applyNumberFormat="1" applyFont="1"/>
    <xf numFmtId="170" fontId="3" fillId="0" borderId="0" xfId="0" applyNumberFormat="1" applyFont="1" applyAlignment="1">
      <alignment horizontal="right"/>
    </xf>
    <xf numFmtId="170" fontId="16" fillId="0" borderId="0" xfId="0" applyNumberFormat="1" applyFont="1" applyAlignment="1">
      <alignment horizontal="right"/>
    </xf>
    <xf numFmtId="170" fontId="3" fillId="0" borderId="2" xfId="0" applyNumberFormat="1" applyFont="1" applyBorder="1"/>
    <xf numFmtId="164" fontId="3" fillId="0" borderId="2" xfId="0" applyNumberFormat="1" applyFont="1" applyBorder="1"/>
    <xf numFmtId="164" fontId="3" fillId="0" borderId="0" xfId="0" applyNumberFormat="1" applyFont="1"/>
    <xf numFmtId="44" fontId="3" fillId="0" borderId="2" xfId="0" applyNumberFormat="1" applyFont="1" applyBorder="1"/>
    <xf numFmtId="170" fontId="3" fillId="3" borderId="0" xfId="0" applyNumberFormat="1" applyFont="1" applyFill="1"/>
    <xf numFmtId="170" fontId="3" fillId="4" borderId="0" xfId="0" applyNumberFormat="1" applyFont="1" applyFill="1"/>
    <xf numFmtId="170" fontId="3" fillId="0" borderId="6" xfId="0" applyNumberFormat="1" applyFont="1" applyBorder="1"/>
    <xf numFmtId="170" fontId="3" fillId="0" borderId="8" xfId="0" applyNumberFormat="1" applyFont="1" applyBorder="1"/>
    <xf numFmtId="172" fontId="12" fillId="0" borderId="2" xfId="0" applyNumberFormat="1" applyFont="1" applyBorder="1"/>
    <xf numFmtId="172" fontId="12" fillId="7" borderId="2" xfId="0" applyNumberFormat="1" applyFont="1" applyFill="1" applyBorder="1"/>
    <xf numFmtId="171" fontId="12" fillId="0" borderId="0" xfId="0" applyNumberFormat="1" applyFont="1"/>
    <xf numFmtId="171" fontId="12" fillId="0" borderId="0" xfId="0" applyNumberFormat="1" applyFont="1" applyAlignment="1">
      <alignment wrapText="1"/>
    </xf>
    <xf numFmtId="171" fontId="12" fillId="0" borderId="6" xfId="0" applyNumberFormat="1" applyFont="1" applyBorder="1"/>
    <xf numFmtId="173" fontId="12" fillId="0" borderId="3" xfId="0" applyNumberFormat="1" applyFont="1" applyBorder="1" applyAlignment="1">
      <alignment vertical="top"/>
    </xf>
    <xf numFmtId="173" fontId="12" fillId="0" borderId="0" xfId="0" applyNumberFormat="1" applyFont="1" applyAlignment="1">
      <alignment vertical="top"/>
    </xf>
    <xf numFmtId="165" fontId="12" fillId="0" borderId="0" xfId="0" applyNumberFormat="1" applyFont="1" applyAlignment="1">
      <alignment vertical="top" wrapText="1"/>
    </xf>
    <xf numFmtId="173" fontId="17" fillId="0" borderId="0" xfId="0" applyNumberFormat="1" applyFont="1" applyAlignment="1">
      <alignment vertical="top"/>
    </xf>
    <xf numFmtId="164" fontId="12" fillId="0" borderId="6" xfId="0" applyNumberFormat="1" applyFont="1" applyBorder="1"/>
    <xf numFmtId="164" fontId="12" fillId="0" borderId="0" xfId="0" applyNumberFormat="1" applyFont="1"/>
    <xf numFmtId="164" fontId="12" fillId="0" borderId="3" xfId="0" applyNumberFormat="1" applyFont="1" applyBorder="1"/>
    <xf numFmtId="44" fontId="12" fillId="0" borderId="0" xfId="0" applyNumberFormat="1" applyFont="1"/>
    <xf numFmtId="172" fontId="12" fillId="0" borderId="0" xfId="0" applyNumberFormat="1" applyFont="1"/>
    <xf numFmtId="170" fontId="12" fillId="0" borderId="0" xfId="0" applyNumberFormat="1" applyFont="1"/>
    <xf numFmtId="171" fontId="3" fillId="0" borderId="0" xfId="0" applyNumberFormat="1" applyFont="1" applyAlignment="1">
      <alignment wrapText="1"/>
    </xf>
    <xf numFmtId="171" fontId="3" fillId="0" borderId="0" xfId="0" applyNumberFormat="1" applyFont="1"/>
    <xf numFmtId="171" fontId="3" fillId="0" borderId="0" xfId="0" applyNumberFormat="1" applyFont="1" applyAlignment="1">
      <alignment horizontal="right"/>
    </xf>
    <xf numFmtId="173" fontId="3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 wrapText="1"/>
    </xf>
    <xf numFmtId="165" fontId="17" fillId="0" borderId="0" xfId="0" applyNumberFormat="1" applyFont="1" applyAlignment="1">
      <alignment vertical="top" wrapText="1"/>
    </xf>
    <xf numFmtId="164" fontId="3" fillId="0" borderId="6" xfId="0" applyNumberFormat="1" applyFont="1" applyBorder="1" applyAlignment="1">
      <alignment wrapText="1"/>
    </xf>
    <xf numFmtId="164" fontId="3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wrapText="1"/>
    </xf>
    <xf numFmtId="170" fontId="3" fillId="0" borderId="0" xfId="0" applyNumberFormat="1" applyFont="1" applyAlignment="1">
      <alignment horizontal="right" wrapText="1"/>
    </xf>
    <xf numFmtId="164" fontId="3" fillId="0" borderId="6" xfId="0" applyNumberFormat="1" applyFont="1" applyBorder="1"/>
    <xf numFmtId="164" fontId="3" fillId="0" borderId="0" xfId="0" applyNumberFormat="1" applyFont="1" applyAlignment="1">
      <alignment horizontal="right"/>
    </xf>
    <xf numFmtId="164" fontId="3" fillId="0" borderId="3" xfId="2" applyNumberFormat="1" applyFont="1" applyBorder="1" applyAlignment="1">
      <alignment vertical="top" wrapText="1"/>
    </xf>
    <xf numFmtId="164" fontId="3" fillId="0" borderId="3" xfId="0" applyNumberFormat="1" applyFont="1" applyBorder="1" applyAlignment="1">
      <alignment wrapText="1"/>
    </xf>
    <xf numFmtId="164" fontId="3" fillId="0" borderId="3" xfId="0" applyNumberFormat="1" applyFont="1" applyBorder="1" applyAlignment="1">
      <alignment horizontal="right" wrapText="1"/>
    </xf>
    <xf numFmtId="164" fontId="3" fillId="0" borderId="7" xfId="0" applyNumberFormat="1" applyFont="1" applyBorder="1" applyAlignment="1">
      <alignment wrapText="1"/>
    </xf>
    <xf numFmtId="164" fontId="2" fillId="0" borderId="0" xfId="0" applyNumberFormat="1" applyFont="1"/>
    <xf numFmtId="173" fontId="3" fillId="0" borderId="3" xfId="0" applyNumberFormat="1" applyFont="1" applyBorder="1" applyAlignment="1">
      <alignment vertical="top"/>
    </xf>
    <xf numFmtId="169" fontId="2" fillId="0" borderId="0" xfId="0" applyNumberFormat="1" applyFont="1"/>
    <xf numFmtId="176" fontId="2" fillId="0" borderId="0" xfId="0" applyNumberFormat="1" applyFont="1"/>
    <xf numFmtId="164" fontId="3" fillId="0" borderId="3" xfId="0" applyNumberFormat="1" applyFont="1" applyBorder="1"/>
    <xf numFmtId="164" fontId="3" fillId="0" borderId="0" xfId="0" applyNumberFormat="1" applyFont="1" applyAlignment="1">
      <alignment vertical="top" wrapText="1"/>
    </xf>
    <xf numFmtId="170" fontId="3" fillId="0" borderId="0" xfId="0" applyNumberFormat="1" applyFont="1" applyAlignment="1">
      <alignment vertical="top" wrapText="1"/>
    </xf>
    <xf numFmtId="172" fontId="2" fillId="0" borderId="0" xfId="0" applyNumberFormat="1" applyFont="1" applyAlignment="1">
      <alignment vertical="top"/>
    </xf>
    <xf numFmtId="171" fontId="2" fillId="0" borderId="0" xfId="0" applyNumberFormat="1" applyFont="1" applyAlignment="1">
      <alignment vertical="top"/>
    </xf>
    <xf numFmtId="171" fontId="2" fillId="0" borderId="0" xfId="0" applyNumberFormat="1" applyFont="1" applyAlignment="1">
      <alignment vertical="top" wrapText="1"/>
    </xf>
    <xf numFmtId="171" fontId="2" fillId="0" borderId="1" xfId="0" applyNumberFormat="1" applyFont="1" applyBorder="1" applyAlignment="1">
      <alignment vertical="top"/>
    </xf>
    <xf numFmtId="173" fontId="2" fillId="0" borderId="0" xfId="0" applyNumberFormat="1" applyFont="1" applyAlignment="1">
      <alignment vertical="top"/>
    </xf>
    <xf numFmtId="173" fontId="14" fillId="0" borderId="0" xfId="0" applyNumberFormat="1" applyFont="1" applyAlignment="1">
      <alignment vertical="top"/>
    </xf>
    <xf numFmtId="164" fontId="15" fillId="0" borderId="0" xfId="0" applyNumberFormat="1" applyFont="1" applyAlignment="1">
      <alignment vertical="top"/>
    </xf>
    <xf numFmtId="164" fontId="3" fillId="0" borderId="0" xfId="0" applyNumberFormat="1" applyFont="1" applyAlignment="1">
      <alignment vertical="top"/>
    </xf>
    <xf numFmtId="164" fontId="8" fillId="0" borderId="1" xfId="0" applyNumberFormat="1" applyFont="1" applyBorder="1" applyAlignment="1">
      <alignment horizontal="center"/>
    </xf>
    <xf numFmtId="164" fontId="8" fillId="0" borderId="1" xfId="0" quotePrefix="1" applyNumberFormat="1" applyFont="1" applyBorder="1" applyAlignment="1">
      <alignment horizontal="center"/>
    </xf>
    <xf numFmtId="164" fontId="8" fillId="0" borderId="1" xfId="0" applyNumberFormat="1" applyFont="1" applyBorder="1"/>
    <xf numFmtId="164" fontId="0" fillId="0" borderId="0" xfId="0" applyNumberFormat="1"/>
    <xf numFmtId="164" fontId="8" fillId="0" borderId="0" xfId="0" applyNumberFormat="1" applyFont="1" applyAlignment="1">
      <alignment horizontal="right"/>
    </xf>
    <xf numFmtId="165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9" fontId="0" fillId="0" borderId="0" xfId="0" applyNumberFormat="1"/>
    <xf numFmtId="167" fontId="6" fillId="0" borderId="0" xfId="0" applyNumberFormat="1" applyFont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4" fontId="9" fillId="0" borderId="0" xfId="0" applyNumberFormat="1" applyFont="1"/>
    <xf numFmtId="168" fontId="0" fillId="0" borderId="1" xfId="0" applyNumberFormat="1" applyBorder="1" applyAlignment="1">
      <alignment horizontal="center" wrapText="1"/>
    </xf>
    <xf numFmtId="164" fontId="6" fillId="0" borderId="0" xfId="0" applyNumberFormat="1" applyFont="1" applyAlignment="1">
      <alignment horizontal="center"/>
    </xf>
    <xf numFmtId="173" fontId="17" fillId="0" borderId="3" xfId="0" applyNumberFormat="1" applyFont="1" applyBorder="1" applyAlignment="1">
      <alignment vertical="top"/>
    </xf>
    <xf numFmtId="164" fontId="3" fillId="0" borderId="6" xfId="3" applyNumberFormat="1" applyFont="1" applyBorder="1"/>
    <xf numFmtId="0" fontId="0" fillId="0" borderId="1" xfId="0" applyBorder="1" applyAlignment="1">
      <alignment horizontal="left" vertical="top" wrapText="1"/>
    </xf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/>
    </xf>
    <xf numFmtId="0" fontId="12" fillId="0" borderId="1" xfId="0" applyFont="1" applyBorder="1" applyAlignment="1">
      <alignment horizontal="left" vertical="top" wrapText="1"/>
    </xf>
    <xf numFmtId="0" fontId="9" fillId="0" borderId="0" xfId="0" applyFont="1"/>
    <xf numFmtId="0" fontId="12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</cellXfs>
  <cellStyles count="16">
    <cellStyle name="Comma" xfId="2" builtinId="3"/>
    <cellStyle name="Comma 2" xfId="5"/>
    <cellStyle name="Comma 3" xfId="9"/>
    <cellStyle name="Comma 4" xfId="14"/>
    <cellStyle name="Currency" xfId="3" builtinId="4"/>
    <cellStyle name="Currency 2" xfId="6"/>
    <cellStyle name="Normal" xfId="0" builtinId="0"/>
    <cellStyle name="Normal 2" xfId="4"/>
    <cellStyle name="Normal 3" xfId="7"/>
    <cellStyle name="Normal 3 2" xfId="10"/>
    <cellStyle name="Normal 4" xfId="13"/>
    <cellStyle name="Normal 5" xfId="15"/>
    <cellStyle name="Note 2" xfId="8"/>
    <cellStyle name="Percent" xfId="1" builtinId="5"/>
    <cellStyle name="Percent 2" xfId="11"/>
    <cellStyle name="Percent 3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muser/Box/FMEnergy/Utilities/Utility%20Recharges/Old%20Recharges/Housing_Utility_Summary_2015-2016%20thru%20Marc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muser/Box/FMEnergy/Utilities/Utility%20Recharges/Old%20Recharges/Housing_Utility_Summary_2016-2017%20thru%20Marc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muser/Desktop/Housing_Utility_Summary_2016-2017%20thru%20April-A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/>
      <sheetData sheetId="2">
        <row r="48">
          <cell r="I48">
            <v>32403.234138398915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/>
      <sheetData sheetId="2">
        <row r="48">
          <cell r="I48">
            <v>28149.925966472802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>
        <row r="3">
          <cell r="C3">
            <v>42565</v>
          </cell>
        </row>
      </sheetData>
      <sheetData sheetId="2">
        <row r="4">
          <cell r="D4">
            <v>42615</v>
          </cell>
          <cell r="E4">
            <v>42646</v>
          </cell>
          <cell r="G4">
            <v>42705</v>
          </cell>
          <cell r="H4">
            <v>42740</v>
          </cell>
          <cell r="I4">
            <v>42736</v>
          </cell>
          <cell r="J4">
            <v>42065</v>
          </cell>
          <cell r="K4">
            <v>42826</v>
          </cell>
          <cell r="L4">
            <v>42492</v>
          </cell>
          <cell r="M4">
            <v>42537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C16"/>
    </sheetView>
  </sheetViews>
  <sheetFormatPr defaultRowHeight="12.75" x14ac:dyDescent="0.2"/>
  <sheetData>
    <row r="1" spans="1:3" x14ac:dyDescent="0.2">
      <c r="A1" t="s">
        <v>0</v>
      </c>
    </row>
    <row r="3" spans="1:3" x14ac:dyDescent="0.2">
      <c r="A3" t="str">
        <f>'Electric old'!B4</f>
        <v>JANUARY</v>
      </c>
      <c r="B3" s="12">
        <f>'Electric old'!E4+'Electric old'!E16+'Electric old'!E28+'Electric old'!E40+'Electric old'!E52+'Electric old'!E64+'Electric old'!E76+'Electric old'!E88+'Electric old'!E100+'Electric old'!E112+'Electric old'!E124</f>
        <v>55557</v>
      </c>
      <c r="C3" s="145">
        <f t="shared" ref="C3:C14" si="0">B3/$B$16</f>
        <v>7.3550554836249837E-2</v>
      </c>
    </row>
    <row r="4" spans="1:3" x14ac:dyDescent="0.2">
      <c r="A4" t="str">
        <f>'Electric old'!B5</f>
        <v>FEBRUARY</v>
      </c>
      <c r="B4" s="12">
        <f>'Electric old'!E5+'Electric old'!E17+'Electric old'!E29+'Electric old'!E41+'Electric old'!E53+'Electric old'!E65+'Electric old'!E77+'Electric old'!E89+'Electric old'!E101+'Electric old'!E113+'Electric old'!E125</f>
        <v>89853</v>
      </c>
      <c r="C4" s="145">
        <f t="shared" si="0"/>
        <v>0.11895419125765531</v>
      </c>
    </row>
    <row r="5" spans="1:3" x14ac:dyDescent="0.2">
      <c r="A5" t="str">
        <f>'Electric old'!B6</f>
        <v>MARCH</v>
      </c>
      <c r="B5" s="12">
        <f>'Electric old'!E6+'Electric old'!E18+'Electric old'!E30+'Electric old'!E42+'Electric old'!E54+'Electric old'!E66+'Electric old'!E78+'Electric old'!E90+'Electric old'!E102+'Electric old'!E114+'Electric old'!E126</f>
        <v>72733</v>
      </c>
      <c r="C5" s="145">
        <f t="shared" si="0"/>
        <v>9.6289441562808623E-2</v>
      </c>
    </row>
    <row r="6" spans="1:3" x14ac:dyDescent="0.2">
      <c r="A6" t="str">
        <f>'Electric old'!B7</f>
        <v>APRIL</v>
      </c>
      <c r="B6" s="12">
        <f>'Electric old'!E7+'Electric old'!E19+'Electric old'!E31+'Electric old'!E43+'Electric old'!E55+'Electric old'!E67+'Electric old'!E79+'Electric old'!E91+'Electric old'!E103+'Electric old'!E115+'Electric old'!E127</f>
        <v>74220</v>
      </c>
      <c r="C6" s="145">
        <f t="shared" si="0"/>
        <v>9.8258044529878547E-2</v>
      </c>
    </row>
    <row r="7" spans="1:3" x14ac:dyDescent="0.2">
      <c r="A7" t="str">
        <f>'Electric old'!B8</f>
        <v>MAY</v>
      </c>
      <c r="B7" s="12">
        <f>'Electric old'!E8+'Electric old'!E20+'Electric old'!E32+'Electric old'!E44+'Electric old'!E56+'Electric old'!E68+'Electric old'!E80+'Electric old'!E92+'Electric old'!E104+'Electric old'!E116+'Electric old'!E128</f>
        <v>56732</v>
      </c>
      <c r="C7" s="145">
        <f t="shared" si="0"/>
        <v>7.5106108626637968E-2</v>
      </c>
    </row>
    <row r="8" spans="1:3" x14ac:dyDescent="0.2">
      <c r="A8" t="str">
        <f>'Electric old'!B9</f>
        <v>JUNE</v>
      </c>
      <c r="B8" s="12">
        <f>'Electric old'!E9+'Electric old'!E21+'Electric old'!E33+'Electric old'!E45+'Electric old'!E57+'Electric old'!E69+'Electric old'!E81+'Electric old'!E93+'Electric old'!E105+'Electric old'!E117+'Electric old'!E129</f>
        <v>30749</v>
      </c>
      <c r="C8" s="145">
        <f t="shared" si="0"/>
        <v>4.0707849787782746E-2</v>
      </c>
    </row>
    <row r="9" spans="1:3" x14ac:dyDescent="0.2">
      <c r="A9" t="str">
        <f>'Electric old'!B10</f>
        <v>JULY</v>
      </c>
      <c r="B9" s="12">
        <f>'Electric old'!E10+'Electric old'!E22+'Electric old'!E34+'Electric old'!E46+'Electric old'!E58+'Electric old'!E70+'Electric old'!E82+'Electric old'!E94+'Electric old'!E106+'Electric old'!E118+'Electric old'!E130</f>
        <v>44415</v>
      </c>
      <c r="C9" s="145">
        <f t="shared" si="0"/>
        <v>5.8799933276671462E-2</v>
      </c>
    </row>
    <row r="10" spans="1:3" x14ac:dyDescent="0.2">
      <c r="A10" t="str">
        <f>'Electric old'!B11</f>
        <v>AUGUST</v>
      </c>
      <c r="B10" s="12">
        <f>'Electric old'!E11+'Electric old'!E23+'Electric old'!E35+'Electric old'!E47+'Electric old'!E59+'Electric old'!E71+'Electric old'!E83+'Electric old'!E95+'Electric old'!E107+'Electric old'!E119+'Electric old'!E131</f>
        <v>59442</v>
      </c>
      <c r="C10" s="145">
        <f t="shared" si="0"/>
        <v>7.8693811411277834E-2</v>
      </c>
    </row>
    <row r="11" spans="1:3" x14ac:dyDescent="0.2">
      <c r="A11" t="str">
        <f>'Electric old'!B12</f>
        <v>SEPTEMBER</v>
      </c>
      <c r="B11" s="12">
        <f>'Electric old'!E12+'Electric old'!E24+'Electric old'!E36+'Electric old'!E48+'Electric old'!E60+'Electric old'!E72+'Electric old'!E84+'Electric old'!E96+'Electric old'!E108+'Electric old'!E120+'Electric old'!E132</f>
        <v>61657</v>
      </c>
      <c r="C11" s="145">
        <f t="shared" si="0"/>
        <v>8.1626195790605247E-2</v>
      </c>
    </row>
    <row r="12" spans="1:3" x14ac:dyDescent="0.2">
      <c r="A12" t="str">
        <f>'Electric old'!B13</f>
        <v>OCTOBER</v>
      </c>
      <c r="B12" s="38">
        <v>70000</v>
      </c>
      <c r="C12" s="145">
        <f t="shared" si="0"/>
        <v>9.267128964014415E-2</v>
      </c>
    </row>
    <row r="13" spans="1:3" x14ac:dyDescent="0.2">
      <c r="A13" t="str">
        <f>'Electric old'!B14</f>
        <v>NOVEMBER</v>
      </c>
      <c r="B13" s="38">
        <v>70000</v>
      </c>
      <c r="C13" s="145">
        <f t="shared" si="0"/>
        <v>9.267128964014415E-2</v>
      </c>
    </row>
    <row r="14" spans="1:3" x14ac:dyDescent="0.2">
      <c r="A14" t="str">
        <f>'Electric old'!B15</f>
        <v>DECEMBER</v>
      </c>
      <c r="B14" s="38">
        <v>70000</v>
      </c>
      <c r="C14" s="145">
        <f t="shared" si="0"/>
        <v>9.267128964014415E-2</v>
      </c>
    </row>
    <row r="16" spans="1:3" x14ac:dyDescent="0.2">
      <c r="A16" t="s">
        <v>1</v>
      </c>
      <c r="B16" s="12">
        <f>SUM(B3:B15)</f>
        <v>755358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2"/>
  <sheetViews>
    <sheetView topLeftCell="A91" zoomScale="115" zoomScaleNormal="115" workbookViewId="0">
      <selection activeCell="E62" sqref="E62"/>
    </sheetView>
  </sheetViews>
  <sheetFormatPr defaultRowHeight="12.75" x14ac:dyDescent="0.2"/>
  <cols>
    <col min="1" max="1" width="18.7109375" style="5" customWidth="1"/>
    <col min="2" max="2" width="12.5703125" style="2" bestFit="1" customWidth="1"/>
    <col min="3" max="4" width="12.7109375" style="10" customWidth="1"/>
    <col min="5" max="5" width="13.5703125" style="10" bestFit="1" customWidth="1"/>
    <col min="6" max="6" width="13.5703125" style="10" customWidth="1"/>
    <col min="7" max="7" width="12.7109375" style="10" customWidth="1"/>
    <col min="9" max="9" width="18.140625" style="2" customWidth="1"/>
  </cols>
  <sheetData>
    <row r="1" spans="1:9" ht="15.75" customHeight="1" x14ac:dyDescent="0.25">
      <c r="A1" s="22" t="s">
        <v>152</v>
      </c>
    </row>
    <row r="2" spans="1:9" ht="18" customHeight="1" x14ac:dyDescent="0.25">
      <c r="A2" s="6"/>
    </row>
    <row r="3" spans="1:9" ht="25.5" customHeight="1" x14ac:dyDescent="0.2">
      <c r="A3" s="23" t="s">
        <v>88</v>
      </c>
      <c r="B3" s="17" t="s">
        <v>4</v>
      </c>
      <c r="C3" s="17" t="s">
        <v>130</v>
      </c>
      <c r="D3" s="17" t="s">
        <v>153</v>
      </c>
      <c r="E3" s="17" t="s">
        <v>154</v>
      </c>
      <c r="F3" s="17" t="s">
        <v>89</v>
      </c>
      <c r="G3" s="17" t="s">
        <v>50</v>
      </c>
    </row>
    <row r="4" spans="1:9" x14ac:dyDescent="0.2">
      <c r="A4" s="228" t="s">
        <v>155</v>
      </c>
      <c r="B4" s="4" t="s">
        <v>133</v>
      </c>
      <c r="C4" s="8"/>
      <c r="D4" s="9"/>
      <c r="E4" s="9"/>
      <c r="F4" s="9"/>
      <c r="G4" s="211"/>
    </row>
    <row r="5" spans="1:9" x14ac:dyDescent="0.2">
      <c r="A5" s="229"/>
      <c r="B5" s="4" t="s">
        <v>134</v>
      </c>
      <c r="C5" s="8"/>
      <c r="D5" s="9"/>
      <c r="E5" s="9"/>
      <c r="F5" s="9"/>
      <c r="G5" s="211"/>
    </row>
    <row r="6" spans="1:9" x14ac:dyDescent="0.2">
      <c r="A6" s="229"/>
      <c r="B6" s="4" t="s">
        <v>136</v>
      </c>
      <c r="C6" s="8"/>
      <c r="D6" s="9"/>
      <c r="E6" s="9"/>
      <c r="F6" s="9"/>
      <c r="G6" s="211"/>
    </row>
    <row r="7" spans="1:9" x14ac:dyDescent="0.2">
      <c r="A7" s="229"/>
      <c r="B7" s="4" t="s">
        <v>138</v>
      </c>
      <c r="C7" s="8">
        <v>38838</v>
      </c>
      <c r="D7" s="9">
        <v>218403</v>
      </c>
      <c r="E7" s="9">
        <v>218403</v>
      </c>
      <c r="F7" s="210">
        <v>1.4668270000000001</v>
      </c>
      <c r="G7" s="211">
        <f>(E7/1000)*1.466827</f>
        <v>320.35941728099999</v>
      </c>
    </row>
    <row r="8" spans="1:9" x14ac:dyDescent="0.2">
      <c r="A8" s="229"/>
      <c r="B8" s="4" t="s">
        <v>140</v>
      </c>
      <c r="C8" s="8">
        <v>38869</v>
      </c>
      <c r="D8" s="3">
        <v>0</v>
      </c>
      <c r="E8" s="9">
        <v>119456</v>
      </c>
      <c r="F8" s="210">
        <v>1.4599935477999999</v>
      </c>
      <c r="G8" s="211">
        <f>(E8/1000)*1.4599935478</f>
        <v>174.4049892459968</v>
      </c>
      <c r="I8" s="11"/>
    </row>
    <row r="9" spans="1:9" x14ac:dyDescent="0.2">
      <c r="A9" s="229"/>
      <c r="B9" s="4" t="s">
        <v>141</v>
      </c>
      <c r="C9" s="8">
        <v>38896</v>
      </c>
      <c r="D9" s="9">
        <v>136405</v>
      </c>
      <c r="E9" s="9">
        <v>136405</v>
      </c>
      <c r="F9" s="210">
        <v>1.4480832863999999</v>
      </c>
      <c r="G9" s="211">
        <f>(E9/1000)*1.4480832864</f>
        <v>197.52580068139198</v>
      </c>
      <c r="I9" s="15"/>
    </row>
    <row r="10" spans="1:9" x14ac:dyDescent="0.2">
      <c r="A10" s="229"/>
      <c r="B10" s="4" t="s">
        <v>142</v>
      </c>
      <c r="C10" s="8">
        <v>38925</v>
      </c>
      <c r="D10" s="9">
        <v>157566</v>
      </c>
      <c r="E10" s="9">
        <v>21161</v>
      </c>
      <c r="F10" s="210">
        <v>1.4396629599999999</v>
      </c>
      <c r="G10" s="211">
        <f>(E10/1000)*1.43966296</f>
        <v>30.46470789656</v>
      </c>
      <c r="I10" s="16"/>
    </row>
    <row r="11" spans="1:9" x14ac:dyDescent="0.2">
      <c r="A11" s="229"/>
      <c r="B11" s="4" t="s">
        <v>143</v>
      </c>
      <c r="C11" s="8">
        <v>38965</v>
      </c>
      <c r="D11" s="9">
        <v>202655</v>
      </c>
      <c r="E11" s="9">
        <f>D11-D10</f>
        <v>45089</v>
      </c>
      <c r="F11" s="210">
        <v>1.4295233641</v>
      </c>
      <c r="G11" s="211">
        <f>(E11/1000)*1.4295233641</f>
        <v>64.455778963904905</v>
      </c>
      <c r="I11" s="16"/>
    </row>
    <row r="12" spans="1:9" x14ac:dyDescent="0.2">
      <c r="A12" s="229"/>
      <c r="B12" s="4" t="s">
        <v>144</v>
      </c>
      <c r="C12" s="8">
        <v>38993</v>
      </c>
      <c r="D12" s="9">
        <v>279159</v>
      </c>
      <c r="E12" s="9">
        <f>D12-D11</f>
        <v>76504</v>
      </c>
      <c r="F12" s="210">
        <v>1.424126085998608</v>
      </c>
      <c r="G12" s="211">
        <f>E12/1000*F12</f>
        <v>108.95134208323752</v>
      </c>
    </row>
    <row r="13" spans="1:9" x14ac:dyDescent="0.2">
      <c r="A13" s="229"/>
      <c r="B13" s="4" t="s">
        <v>145</v>
      </c>
      <c r="C13" s="8">
        <v>39035</v>
      </c>
      <c r="D13" s="9">
        <v>390168</v>
      </c>
      <c r="E13" s="9">
        <f>D13-D12</f>
        <v>111009</v>
      </c>
      <c r="F13" s="210">
        <v>1.4306000000000001</v>
      </c>
      <c r="G13" s="211">
        <f>E13/1000*F13</f>
        <v>158.80947540000003</v>
      </c>
      <c r="I13" s="12"/>
    </row>
    <row r="14" spans="1:9" x14ac:dyDescent="0.2">
      <c r="A14" s="229"/>
      <c r="B14" s="4" t="s">
        <v>146</v>
      </c>
      <c r="C14" s="8">
        <v>39056</v>
      </c>
      <c r="D14" s="9">
        <v>433393</v>
      </c>
      <c r="E14" s="9">
        <f>D14-D13</f>
        <v>43225</v>
      </c>
      <c r="F14" s="210">
        <v>1.4339999999999999</v>
      </c>
      <c r="G14" s="211">
        <f>E14/1000*F14</f>
        <v>61.984650000000002</v>
      </c>
    </row>
    <row r="15" spans="1:9" x14ac:dyDescent="0.2">
      <c r="A15" s="229"/>
      <c r="B15" s="4" t="s">
        <v>147</v>
      </c>
      <c r="C15" s="8">
        <v>38725</v>
      </c>
      <c r="D15" s="47">
        <v>463056</v>
      </c>
      <c r="E15" s="9">
        <f>D15-D14</f>
        <v>29663</v>
      </c>
      <c r="F15" s="210">
        <v>1.4590975324476709</v>
      </c>
      <c r="G15" s="211">
        <f>E15/1000*F15</f>
        <v>43.28121010499526</v>
      </c>
    </row>
    <row r="16" spans="1:9" x14ac:dyDescent="0.2">
      <c r="A16" s="228" t="s">
        <v>156</v>
      </c>
      <c r="B16" s="4" t="s">
        <v>133</v>
      </c>
      <c r="C16" s="8"/>
      <c r="D16" s="9"/>
      <c r="E16" s="9"/>
      <c r="F16" s="9"/>
      <c r="G16" s="211"/>
    </row>
    <row r="17" spans="1:9" x14ac:dyDescent="0.2">
      <c r="A17" s="229"/>
      <c r="B17" s="4" t="s">
        <v>134</v>
      </c>
      <c r="C17" s="8"/>
      <c r="D17" s="9"/>
      <c r="E17" s="9"/>
      <c r="F17" s="9"/>
      <c r="G17" s="211"/>
    </row>
    <row r="18" spans="1:9" x14ac:dyDescent="0.2">
      <c r="A18" s="229"/>
      <c r="B18" s="4" t="s">
        <v>136</v>
      </c>
      <c r="C18" s="8"/>
      <c r="D18" s="9">
        <v>357993</v>
      </c>
      <c r="E18" s="9"/>
      <c r="F18" s="9"/>
      <c r="G18" s="211"/>
    </row>
    <row r="19" spans="1:9" x14ac:dyDescent="0.2">
      <c r="A19" s="229"/>
      <c r="B19" s="4" t="s">
        <v>138</v>
      </c>
      <c r="C19" s="8">
        <v>38839</v>
      </c>
      <c r="D19" s="9">
        <v>456376</v>
      </c>
      <c r="E19" s="9">
        <f>D19-D18</f>
        <v>98383</v>
      </c>
      <c r="F19" s="210">
        <v>1.4668270000000001</v>
      </c>
      <c r="G19" s="211">
        <f>(E19/1000)*1.466827</f>
        <v>144.31084074099999</v>
      </c>
    </row>
    <row r="20" spans="1:9" x14ac:dyDescent="0.2">
      <c r="A20" s="229"/>
      <c r="B20" s="4" t="s">
        <v>140</v>
      </c>
      <c r="C20" s="8">
        <v>38869</v>
      </c>
      <c r="D20" s="9">
        <v>521384</v>
      </c>
      <c r="E20" s="9">
        <f>D20-D19</f>
        <v>65008</v>
      </c>
      <c r="F20" s="210">
        <v>1.4599935477999999</v>
      </c>
      <c r="G20" s="211">
        <f>(E20/1000)*1.4599935478</f>
        <v>94.911260555382384</v>
      </c>
      <c r="I20" s="218"/>
    </row>
    <row r="21" spans="1:9" x14ac:dyDescent="0.2">
      <c r="A21" s="229"/>
      <c r="B21" s="4" t="s">
        <v>141</v>
      </c>
      <c r="C21" s="8">
        <v>38896</v>
      </c>
      <c r="D21" s="9">
        <v>527288</v>
      </c>
      <c r="E21" s="9">
        <f>D21-D20</f>
        <v>5904</v>
      </c>
      <c r="F21" s="210">
        <v>1.4480832863999999</v>
      </c>
      <c r="G21" s="211">
        <f>(E21/1000)*1.4480832864</f>
        <v>8.5494837229055989</v>
      </c>
      <c r="I21" s="11"/>
    </row>
    <row r="22" spans="1:9" x14ac:dyDescent="0.2">
      <c r="A22" s="229"/>
      <c r="B22" s="4" t="s">
        <v>142</v>
      </c>
      <c r="C22" s="8">
        <v>38925</v>
      </c>
      <c r="D22" s="9">
        <v>537280</v>
      </c>
      <c r="E22" s="9">
        <v>9992</v>
      </c>
      <c r="F22" s="210">
        <v>1.4396629599999999</v>
      </c>
      <c r="G22" s="211">
        <f>(E22/1000)*1.43966296</f>
        <v>14.385112296320001</v>
      </c>
      <c r="I22" s="14"/>
    </row>
    <row r="23" spans="1:9" x14ac:dyDescent="0.2">
      <c r="A23" s="229"/>
      <c r="B23" s="4" t="s">
        <v>143</v>
      </c>
      <c r="C23" s="8">
        <v>38965</v>
      </c>
      <c r="D23" s="9">
        <v>579263</v>
      </c>
      <c r="E23" s="9">
        <f>D23-D22</f>
        <v>41983</v>
      </c>
      <c r="F23" s="210">
        <v>1.4295233641</v>
      </c>
      <c r="G23" s="211">
        <f>(E23/1000)*1.4295233641</f>
        <v>60.015679395010295</v>
      </c>
      <c r="I23" s="7"/>
    </row>
    <row r="24" spans="1:9" x14ac:dyDescent="0.2">
      <c r="A24" s="229"/>
      <c r="B24" s="4" t="s">
        <v>144</v>
      </c>
      <c r="C24" s="8">
        <v>38993</v>
      </c>
      <c r="D24" s="9">
        <v>660645</v>
      </c>
      <c r="E24" s="9">
        <f>D24-D23</f>
        <v>81382</v>
      </c>
      <c r="F24" s="210">
        <v>1.424126085998608</v>
      </c>
      <c r="G24" s="211">
        <f>E24/1000*F24</f>
        <v>115.89822913073873</v>
      </c>
      <c r="I24" s="14"/>
    </row>
    <row r="25" spans="1:9" x14ac:dyDescent="0.2">
      <c r="A25" s="229"/>
      <c r="B25" s="4" t="s">
        <v>145</v>
      </c>
      <c r="C25" s="8">
        <v>39035</v>
      </c>
      <c r="D25" s="9" t="s">
        <v>157</v>
      </c>
      <c r="E25" s="9" t="s">
        <v>157</v>
      </c>
      <c r="F25" s="210">
        <v>1.4306000000000001</v>
      </c>
      <c r="G25" s="9" t="s">
        <v>157</v>
      </c>
      <c r="I25" s="12"/>
    </row>
    <row r="26" spans="1:9" x14ac:dyDescent="0.2">
      <c r="A26" s="229"/>
      <c r="B26" s="4" t="s">
        <v>146</v>
      </c>
      <c r="C26" s="8">
        <v>39056</v>
      </c>
      <c r="D26" s="9" t="s">
        <v>157</v>
      </c>
      <c r="E26" s="9" t="s">
        <v>157</v>
      </c>
      <c r="F26" s="210">
        <v>1.4339999999999999</v>
      </c>
      <c r="G26" s="9" t="s">
        <v>157</v>
      </c>
    </row>
    <row r="27" spans="1:9" x14ac:dyDescent="0.2">
      <c r="A27" s="229"/>
      <c r="B27" s="4" t="s">
        <v>147</v>
      </c>
      <c r="C27" s="8">
        <v>38725</v>
      </c>
      <c r="D27" s="47">
        <v>1013695</v>
      </c>
      <c r="E27" s="9">
        <f>D27-D24</f>
        <v>353050</v>
      </c>
      <c r="F27" s="210">
        <v>1.4590975324476709</v>
      </c>
      <c r="G27" s="211">
        <f>E27/1000*F27</f>
        <v>515.13438383065022</v>
      </c>
    </row>
    <row r="28" spans="1:9" x14ac:dyDescent="0.2">
      <c r="A28" s="228" t="s">
        <v>158</v>
      </c>
      <c r="B28" s="4" t="s">
        <v>133</v>
      </c>
      <c r="C28" s="8"/>
      <c r="D28" s="9"/>
      <c r="E28" s="9"/>
      <c r="F28" s="9"/>
      <c r="G28" s="211"/>
    </row>
    <row r="29" spans="1:9" x14ac:dyDescent="0.2">
      <c r="A29" s="229"/>
      <c r="B29" s="4" t="s">
        <v>134</v>
      </c>
      <c r="C29" s="8"/>
      <c r="D29" s="9"/>
      <c r="E29" s="9"/>
      <c r="F29" s="9"/>
      <c r="G29" s="211"/>
    </row>
    <row r="30" spans="1:9" x14ac:dyDescent="0.2">
      <c r="A30" s="229"/>
      <c r="B30" s="4" t="s">
        <v>136</v>
      </c>
      <c r="C30" s="8"/>
      <c r="D30" s="9">
        <v>187391</v>
      </c>
      <c r="E30" s="9"/>
      <c r="F30" s="9"/>
      <c r="G30" s="211"/>
    </row>
    <row r="31" spans="1:9" x14ac:dyDescent="0.2">
      <c r="A31" s="229"/>
      <c r="B31" s="4" t="s">
        <v>138</v>
      </c>
      <c r="C31" s="8">
        <v>38838</v>
      </c>
      <c r="D31" s="9">
        <v>231620</v>
      </c>
      <c r="E31" s="9">
        <f>D31-D30</f>
        <v>44229</v>
      </c>
      <c r="F31" s="210">
        <v>1.4668270000000001</v>
      </c>
      <c r="G31" s="211">
        <f>(E31/1000)*1.466827</f>
        <v>64.876291383000009</v>
      </c>
    </row>
    <row r="32" spans="1:9" x14ac:dyDescent="0.2">
      <c r="A32" s="229"/>
      <c r="B32" s="4" t="s">
        <v>140</v>
      </c>
      <c r="C32" s="8">
        <v>38869</v>
      </c>
      <c r="D32" s="9">
        <v>261241</v>
      </c>
      <c r="E32" s="9">
        <f>D32-D31</f>
        <v>29621</v>
      </c>
      <c r="F32" s="210">
        <v>1.4599935477999999</v>
      </c>
      <c r="G32" s="211">
        <f>(E32/1000)*1.4599935478</f>
        <v>43.246468879383798</v>
      </c>
    </row>
    <row r="33" spans="1:10" x14ac:dyDescent="0.2">
      <c r="A33" s="229"/>
      <c r="B33" s="4" t="s">
        <v>141</v>
      </c>
      <c r="C33" s="8">
        <v>38896</v>
      </c>
      <c r="D33" s="9">
        <v>261527</v>
      </c>
      <c r="E33" s="9">
        <f>D33-D32</f>
        <v>286</v>
      </c>
      <c r="F33" s="210">
        <v>1.4480832863999999</v>
      </c>
      <c r="G33" s="211">
        <f>(E33/1000)*1.4480832864</f>
        <v>0.41415181991039995</v>
      </c>
    </row>
    <row r="34" spans="1:10" x14ac:dyDescent="0.2">
      <c r="A34" s="229"/>
      <c r="B34" s="4" t="s">
        <v>142</v>
      </c>
      <c r="C34" s="8">
        <v>38925</v>
      </c>
      <c r="D34" s="9">
        <v>261773</v>
      </c>
      <c r="E34" s="9">
        <v>246</v>
      </c>
      <c r="F34" s="210">
        <v>1.4396629599999999</v>
      </c>
      <c r="G34" s="211">
        <f>(E34/1000)*1.43966296</f>
        <v>0.35415708815999997</v>
      </c>
      <c r="I34" s="12"/>
    </row>
    <row r="35" spans="1:10" x14ac:dyDescent="0.2">
      <c r="A35" s="229"/>
      <c r="B35" s="4" t="s">
        <v>143</v>
      </c>
      <c r="C35" s="8">
        <v>38965</v>
      </c>
      <c r="D35" s="9">
        <v>284721</v>
      </c>
      <c r="E35" s="9">
        <f>D35-D34</f>
        <v>22948</v>
      </c>
      <c r="F35" s="210">
        <v>1.4295233641</v>
      </c>
      <c r="G35" s="211">
        <f>(E35/1000)*1.4295233641</f>
        <v>32.804702159366798</v>
      </c>
      <c r="I35" s="7"/>
    </row>
    <row r="36" spans="1:10" x14ac:dyDescent="0.2">
      <c r="A36" s="229"/>
      <c r="B36" s="4" t="s">
        <v>144</v>
      </c>
      <c r="C36" s="8">
        <v>38993</v>
      </c>
      <c r="D36" s="9">
        <v>349803</v>
      </c>
      <c r="E36" s="9">
        <f>D36-D35</f>
        <v>65082</v>
      </c>
      <c r="F36" s="210">
        <v>1.424126085998608</v>
      </c>
      <c r="G36" s="211">
        <f>E36/1000*F36</f>
        <v>92.684973928961398</v>
      </c>
      <c r="I36" s="14"/>
    </row>
    <row r="37" spans="1:10" x14ac:dyDescent="0.2">
      <c r="A37" s="229"/>
      <c r="B37" s="4" t="s">
        <v>145</v>
      </c>
      <c r="C37" s="8">
        <v>39035</v>
      </c>
      <c r="D37" s="9">
        <v>439430</v>
      </c>
      <c r="E37" s="9">
        <f>D37-D36</f>
        <v>89627</v>
      </c>
      <c r="F37" s="210">
        <v>1.4306000000000001</v>
      </c>
      <c r="G37" s="211">
        <f>E37/1000*F37</f>
        <v>128.22038620000001</v>
      </c>
      <c r="I37" s="11"/>
    </row>
    <row r="38" spans="1:10" x14ac:dyDescent="0.2">
      <c r="A38" s="229"/>
      <c r="B38" s="4" t="s">
        <v>146</v>
      </c>
      <c r="C38" s="8">
        <v>39056</v>
      </c>
      <c r="D38" s="9">
        <v>481480</v>
      </c>
      <c r="E38" s="9">
        <f>D38-D37</f>
        <v>42050</v>
      </c>
      <c r="F38" s="210">
        <v>1.4339999999999999</v>
      </c>
      <c r="G38" s="211">
        <f>E38/1000*F38</f>
        <v>60.299699999999994</v>
      </c>
      <c r="I38" s="12"/>
      <c r="J38" s="12"/>
    </row>
    <row r="39" spans="1:10" x14ac:dyDescent="0.2">
      <c r="A39" s="229"/>
      <c r="B39" s="4" t="s">
        <v>147</v>
      </c>
      <c r="C39" s="8">
        <v>38725</v>
      </c>
      <c r="D39" s="47">
        <v>506512</v>
      </c>
      <c r="E39" s="9">
        <f>D39-D38</f>
        <v>25032</v>
      </c>
      <c r="F39" s="210">
        <v>1.4590975324476709</v>
      </c>
      <c r="G39" s="211">
        <f>E39/1000*F39</f>
        <v>36.524129432230097</v>
      </c>
    </row>
    <row r="40" spans="1:10" x14ac:dyDescent="0.2">
      <c r="A40" s="228" t="s">
        <v>159</v>
      </c>
      <c r="B40" s="4" t="s">
        <v>133</v>
      </c>
      <c r="C40" s="8"/>
      <c r="D40" s="9"/>
      <c r="E40" s="9"/>
      <c r="F40" s="9"/>
      <c r="G40" s="211"/>
    </row>
    <row r="41" spans="1:10" x14ac:dyDescent="0.2">
      <c r="A41" s="229"/>
      <c r="B41" s="4" t="s">
        <v>134</v>
      </c>
      <c r="C41" s="8"/>
      <c r="D41" s="9"/>
      <c r="E41" s="9"/>
      <c r="F41" s="9"/>
      <c r="G41" s="211"/>
    </row>
    <row r="42" spans="1:10" x14ac:dyDescent="0.2">
      <c r="A42" s="229"/>
      <c r="B42" s="4" t="s">
        <v>136</v>
      </c>
      <c r="C42" s="8"/>
      <c r="D42" s="9">
        <v>507695</v>
      </c>
      <c r="E42" s="9"/>
      <c r="F42" s="9"/>
      <c r="G42" s="211"/>
    </row>
    <row r="43" spans="1:10" x14ac:dyDescent="0.2">
      <c r="A43" s="229"/>
      <c r="B43" s="4" t="s">
        <v>138</v>
      </c>
      <c r="C43" s="8">
        <v>38838</v>
      </c>
      <c r="D43" s="9">
        <v>562524</v>
      </c>
      <c r="E43" s="9">
        <f>D43-D42</f>
        <v>54829</v>
      </c>
      <c r="F43" s="210">
        <v>1.4668270000000001</v>
      </c>
      <c r="G43" s="211">
        <f>(E43/1000)*1.466827</f>
        <v>80.424657583000013</v>
      </c>
      <c r="I43" s="12"/>
    </row>
    <row r="44" spans="1:10" x14ac:dyDescent="0.2">
      <c r="A44" s="229"/>
      <c r="B44" s="4" t="s">
        <v>140</v>
      </c>
      <c r="C44" s="8">
        <v>38869</v>
      </c>
      <c r="D44" s="9">
        <v>622435</v>
      </c>
      <c r="E44" s="9">
        <f>D44-D43</f>
        <v>59911</v>
      </c>
      <c r="F44" s="210">
        <v>1.4599935477999999</v>
      </c>
      <c r="G44" s="211">
        <f>(E44/1000)*1.4599935478</f>
        <v>87.469673442245792</v>
      </c>
    </row>
    <row r="45" spans="1:10" x14ac:dyDescent="0.2">
      <c r="A45" s="229"/>
      <c r="B45" s="4" t="s">
        <v>141</v>
      </c>
      <c r="C45" s="8">
        <v>38896</v>
      </c>
      <c r="D45" s="9">
        <v>622804</v>
      </c>
      <c r="E45" s="9">
        <f>D45-D44</f>
        <v>369</v>
      </c>
      <c r="F45" s="210">
        <v>1.4480832863999999</v>
      </c>
      <c r="G45" s="211">
        <f>(E45/1000)*1.4480832864</f>
        <v>0.53434273268159993</v>
      </c>
    </row>
    <row r="46" spans="1:10" x14ac:dyDescent="0.2">
      <c r="A46" s="229"/>
      <c r="B46" s="4" t="s">
        <v>142</v>
      </c>
      <c r="C46" s="8">
        <v>38925</v>
      </c>
      <c r="D46" s="9">
        <v>623572</v>
      </c>
      <c r="E46" s="9">
        <v>768</v>
      </c>
      <c r="F46" s="210">
        <v>1.4396629599999999</v>
      </c>
      <c r="G46" s="211">
        <f>(E46/1000)*1.43966296</f>
        <v>1.10566115328</v>
      </c>
    </row>
    <row r="47" spans="1:10" x14ac:dyDescent="0.2">
      <c r="A47" s="229"/>
      <c r="B47" s="4" t="s">
        <v>143</v>
      </c>
      <c r="C47" s="8">
        <v>38965</v>
      </c>
      <c r="D47" s="9">
        <v>641622</v>
      </c>
      <c r="E47" s="9">
        <f>D47-D46</f>
        <v>18050</v>
      </c>
      <c r="F47" s="210">
        <v>1.4295233641</v>
      </c>
      <c r="G47" s="211">
        <f>(E47/1000)*1.4295233641</f>
        <v>25.802896722005002</v>
      </c>
    </row>
    <row r="48" spans="1:10" x14ac:dyDescent="0.2">
      <c r="A48" s="229"/>
      <c r="B48" s="4" t="s">
        <v>144</v>
      </c>
      <c r="C48" s="8">
        <v>38993</v>
      </c>
      <c r="D48" s="9">
        <v>690560</v>
      </c>
      <c r="E48" s="9">
        <f>D48-D47</f>
        <v>48938</v>
      </c>
      <c r="F48" s="210">
        <v>1.424126085998608</v>
      </c>
      <c r="G48" s="211">
        <f>E48/1000*F48</f>
        <v>69.693882396599889</v>
      </c>
    </row>
    <row r="49" spans="1:7" x14ac:dyDescent="0.2">
      <c r="A49" s="229"/>
      <c r="B49" s="4" t="s">
        <v>145</v>
      </c>
      <c r="C49" s="8">
        <v>39035</v>
      </c>
      <c r="D49" s="9">
        <v>770511</v>
      </c>
      <c r="E49" s="9">
        <f>D49-D48</f>
        <v>79951</v>
      </c>
      <c r="F49" s="210">
        <v>1.4306000000000001</v>
      </c>
      <c r="G49" s="211">
        <f>E49/1000*F49</f>
        <v>114.3779006</v>
      </c>
    </row>
    <row r="50" spans="1:7" x14ac:dyDescent="0.2">
      <c r="A50" s="229"/>
      <c r="B50" s="4" t="s">
        <v>146</v>
      </c>
      <c r="C50" s="8">
        <v>39056</v>
      </c>
      <c r="D50" s="9">
        <v>814266</v>
      </c>
      <c r="E50" s="9">
        <f>D50-D49</f>
        <v>43755</v>
      </c>
      <c r="F50" s="210">
        <v>1.4339999999999999</v>
      </c>
      <c r="G50" s="211">
        <f>E50/1000*F50</f>
        <v>62.744669999999999</v>
      </c>
    </row>
    <row r="51" spans="1:7" x14ac:dyDescent="0.2">
      <c r="A51" s="229"/>
      <c r="B51" s="4" t="s">
        <v>147</v>
      </c>
      <c r="C51" s="8">
        <v>38725</v>
      </c>
      <c r="D51" s="47">
        <v>844833</v>
      </c>
      <c r="E51" s="9">
        <f>D51-D50</f>
        <v>30567</v>
      </c>
      <c r="F51" s="210">
        <v>1.4590975324476709</v>
      </c>
      <c r="G51" s="211">
        <f>E51/1000*F51</f>
        <v>44.60023427432796</v>
      </c>
    </row>
    <row r="52" spans="1:7" x14ac:dyDescent="0.2">
      <c r="A52" s="228" t="s">
        <v>160</v>
      </c>
      <c r="B52" s="4" t="s">
        <v>133</v>
      </c>
      <c r="C52" s="8"/>
      <c r="D52" s="9"/>
      <c r="E52" s="9"/>
      <c r="F52" s="9"/>
      <c r="G52" s="211"/>
    </row>
    <row r="53" spans="1:7" x14ac:dyDescent="0.2">
      <c r="A53" s="229"/>
      <c r="B53" s="4" t="s">
        <v>134</v>
      </c>
      <c r="C53" s="8"/>
      <c r="D53" s="9"/>
      <c r="E53" s="9"/>
      <c r="F53" s="9"/>
      <c r="G53" s="211"/>
    </row>
    <row r="54" spans="1:7" x14ac:dyDescent="0.2">
      <c r="A54" s="229"/>
      <c r="B54" s="4" t="s">
        <v>136</v>
      </c>
      <c r="C54" s="8"/>
      <c r="D54" s="9"/>
      <c r="E54" s="9"/>
      <c r="F54" s="9"/>
      <c r="G54" s="211"/>
    </row>
    <row r="55" spans="1:7" x14ac:dyDescent="0.2">
      <c r="A55" s="229"/>
      <c r="B55" s="4" t="s">
        <v>138</v>
      </c>
      <c r="C55" s="8">
        <v>38838</v>
      </c>
      <c r="D55" s="9"/>
      <c r="E55" s="9">
        <v>43768</v>
      </c>
      <c r="F55" s="210">
        <v>1.4668270000000001</v>
      </c>
      <c r="G55" s="211">
        <f>(E55/1000)*1.466827</f>
        <v>64.200084136000001</v>
      </c>
    </row>
    <row r="56" spans="1:7" x14ac:dyDescent="0.2">
      <c r="A56" s="229"/>
      <c r="B56" s="4" t="s">
        <v>140</v>
      </c>
      <c r="C56" s="8">
        <v>38869</v>
      </c>
      <c r="D56" s="9"/>
      <c r="E56" s="9">
        <v>37168</v>
      </c>
      <c r="F56" s="210">
        <v>1.4599935477999999</v>
      </c>
      <c r="G56" s="211">
        <f>(E56/1000)*1.4599935478</f>
        <v>54.265040184630394</v>
      </c>
    </row>
    <row r="57" spans="1:7" x14ac:dyDescent="0.2">
      <c r="A57" s="229"/>
      <c r="B57" s="4" t="s">
        <v>141</v>
      </c>
      <c r="C57" s="8">
        <v>38896</v>
      </c>
      <c r="D57" s="32"/>
      <c r="E57" s="9">
        <v>243</v>
      </c>
      <c r="F57" s="210">
        <v>1.4480832863999999</v>
      </c>
      <c r="G57" s="211">
        <f>(E57/1000)*1.4480832864</f>
        <v>0.35188423859519996</v>
      </c>
    </row>
    <row r="58" spans="1:7" x14ac:dyDescent="0.2">
      <c r="A58" s="229"/>
      <c r="B58" s="4" t="s">
        <v>142</v>
      </c>
      <c r="C58" s="8">
        <v>38925</v>
      </c>
      <c r="D58" s="9"/>
      <c r="E58" s="9">
        <v>5728</v>
      </c>
      <c r="F58" s="210">
        <v>1.4396629599999999</v>
      </c>
      <c r="G58" s="211">
        <f>(E58/1000)*1.43966296</f>
        <v>8.2463894348799993</v>
      </c>
    </row>
    <row r="59" spans="1:7" x14ac:dyDescent="0.2">
      <c r="A59" s="229"/>
      <c r="B59" s="4" t="s">
        <v>143</v>
      </c>
      <c r="C59" s="8">
        <v>38965</v>
      </c>
      <c r="D59" s="9"/>
      <c r="E59" s="9">
        <v>66804</v>
      </c>
      <c r="F59" s="210">
        <v>1.4295233641</v>
      </c>
      <c r="G59" s="211">
        <f>(E59/1000)*1.4295233641</f>
        <v>95.497878815336406</v>
      </c>
    </row>
    <row r="60" spans="1:7" x14ac:dyDescent="0.2">
      <c r="A60" s="229"/>
      <c r="B60" s="4" t="s">
        <v>144</v>
      </c>
      <c r="C60" s="8">
        <v>38993</v>
      </c>
      <c r="D60" s="9"/>
      <c r="E60" s="9">
        <f>2*(E36+E48+E108)/5</f>
        <v>55942.400000000001</v>
      </c>
      <c r="F60" s="210">
        <v>1.424126085998608</v>
      </c>
      <c r="G60" s="211">
        <f>E60/1000*F60</f>
        <v>79.669031153368522</v>
      </c>
    </row>
    <row r="61" spans="1:7" x14ac:dyDescent="0.2">
      <c r="A61" s="229"/>
      <c r="B61" s="4" t="s">
        <v>145</v>
      </c>
      <c r="C61" s="8">
        <v>39035</v>
      </c>
      <c r="D61" s="9"/>
      <c r="E61" s="9">
        <f>2*(E37+E49+E109)/5</f>
        <v>83170.399999999994</v>
      </c>
      <c r="F61" s="210">
        <v>1.4306000000000001</v>
      </c>
      <c r="G61" s="211">
        <f>E61/1000*F61</f>
        <v>118.98357424000001</v>
      </c>
    </row>
    <row r="62" spans="1:7" x14ac:dyDescent="0.2">
      <c r="A62" s="229"/>
      <c r="B62" s="4" t="s">
        <v>146</v>
      </c>
      <c r="C62" s="8">
        <v>39056</v>
      </c>
      <c r="D62" s="9"/>
      <c r="E62" s="9">
        <f>2*(E38+E50+E110)/5</f>
        <v>40439.199999999997</v>
      </c>
      <c r="F62" s="210">
        <v>1.4339999999999999</v>
      </c>
      <c r="G62" s="211">
        <f>E62/1000*F62</f>
        <v>57.989812799999996</v>
      </c>
    </row>
    <row r="63" spans="1:7" x14ac:dyDescent="0.2">
      <c r="A63" s="229"/>
      <c r="B63" s="4" t="s">
        <v>147</v>
      </c>
      <c r="C63" s="8">
        <v>38725</v>
      </c>
      <c r="D63" s="9"/>
      <c r="E63" s="9">
        <f>2*(E39+E51+E111)/5</f>
        <v>26408</v>
      </c>
      <c r="F63" s="210">
        <v>1.4590975324476709</v>
      </c>
      <c r="G63" s="211">
        <f>E63/1000*F63</f>
        <v>38.531847636878098</v>
      </c>
    </row>
    <row r="64" spans="1:7" x14ac:dyDescent="0.2">
      <c r="A64" s="228" t="s">
        <v>161</v>
      </c>
      <c r="B64" s="4" t="s">
        <v>133</v>
      </c>
      <c r="C64" s="8"/>
      <c r="D64" s="9"/>
      <c r="E64" s="9"/>
      <c r="F64" s="9"/>
      <c r="G64" s="211"/>
    </row>
    <row r="65" spans="1:7" x14ac:dyDescent="0.2">
      <c r="A65" s="229"/>
      <c r="B65" s="4" t="s">
        <v>134</v>
      </c>
      <c r="C65" s="8"/>
      <c r="D65" s="9"/>
      <c r="E65" s="9"/>
      <c r="F65" s="9"/>
      <c r="G65" s="211"/>
    </row>
    <row r="66" spans="1:7" x14ac:dyDescent="0.2">
      <c r="A66" s="229"/>
      <c r="B66" s="4" t="s">
        <v>136</v>
      </c>
      <c r="C66" s="8"/>
      <c r="D66" s="9"/>
      <c r="E66" s="9"/>
      <c r="F66" s="9"/>
      <c r="G66" s="211"/>
    </row>
    <row r="67" spans="1:7" x14ac:dyDescent="0.2">
      <c r="A67" s="229"/>
      <c r="B67" s="4" t="s">
        <v>138</v>
      </c>
      <c r="C67" s="8">
        <v>38838</v>
      </c>
      <c r="D67" s="9"/>
      <c r="E67" s="9">
        <v>43768</v>
      </c>
      <c r="F67" s="210">
        <v>1.4668270000000001</v>
      </c>
      <c r="G67" s="211">
        <f>(E67/1000)*1.466827</f>
        <v>64.200084136000001</v>
      </c>
    </row>
    <row r="68" spans="1:7" x14ac:dyDescent="0.2">
      <c r="A68" s="229"/>
      <c r="B68" s="4" t="s">
        <v>140</v>
      </c>
      <c r="C68" s="8">
        <v>38869</v>
      </c>
      <c r="D68" s="9"/>
      <c r="E68" s="9">
        <v>37168</v>
      </c>
      <c r="F68" s="210">
        <v>1.4599935477999999</v>
      </c>
      <c r="G68" s="211">
        <f>(E68/1000)*1.4599935478</f>
        <v>54.265040184630394</v>
      </c>
    </row>
    <row r="69" spans="1:7" x14ac:dyDescent="0.2">
      <c r="A69" s="229"/>
      <c r="B69" s="4" t="s">
        <v>141</v>
      </c>
      <c r="C69" s="8">
        <v>38896</v>
      </c>
      <c r="D69" s="9"/>
      <c r="E69" s="9">
        <v>243</v>
      </c>
      <c r="F69" s="210">
        <v>1.4480832863999999</v>
      </c>
      <c r="G69" s="211">
        <f>(E69/1000)*1.4480832864</f>
        <v>0.35188423859519996</v>
      </c>
    </row>
    <row r="70" spans="1:7" x14ac:dyDescent="0.2">
      <c r="A70" s="229"/>
      <c r="B70" s="4" t="s">
        <v>142</v>
      </c>
      <c r="C70" s="8">
        <v>38925</v>
      </c>
      <c r="D70" s="9"/>
      <c r="E70" s="9">
        <v>5728</v>
      </c>
      <c r="F70" s="210">
        <v>1.4396629599999999</v>
      </c>
      <c r="G70" s="211">
        <f>(E70/1000)*1.43966296</f>
        <v>8.2463894348799993</v>
      </c>
    </row>
    <row r="71" spans="1:7" x14ac:dyDescent="0.2">
      <c r="A71" s="229"/>
      <c r="B71" s="4" t="s">
        <v>143</v>
      </c>
      <c r="C71" s="8">
        <v>38965</v>
      </c>
      <c r="D71" s="9"/>
      <c r="E71" s="9">
        <v>66804</v>
      </c>
      <c r="F71" s="210">
        <v>1.4295233641</v>
      </c>
      <c r="G71" s="211">
        <f>(E71/1000)*1.4295233641</f>
        <v>95.497878815336406</v>
      </c>
    </row>
    <row r="72" spans="1:7" x14ac:dyDescent="0.2">
      <c r="A72" s="229"/>
      <c r="B72" s="4" t="s">
        <v>144</v>
      </c>
      <c r="C72" s="8">
        <v>38993</v>
      </c>
      <c r="D72" s="9"/>
      <c r="E72" s="9">
        <f>2*(E36+E48+E108)/5</f>
        <v>55942.400000000001</v>
      </c>
      <c r="F72" s="210">
        <v>1.424126085998608</v>
      </c>
      <c r="G72" s="211">
        <f>E72/1000*F72</f>
        <v>79.669031153368522</v>
      </c>
    </row>
    <row r="73" spans="1:7" x14ac:dyDescent="0.2">
      <c r="A73" s="229"/>
      <c r="B73" s="4" t="s">
        <v>145</v>
      </c>
      <c r="C73" s="8">
        <v>39035</v>
      </c>
      <c r="D73" s="9"/>
      <c r="E73" s="9">
        <f>2*(E37+E49+E109)/5</f>
        <v>83170.399999999994</v>
      </c>
      <c r="F73" s="210">
        <v>1.4306000000000001</v>
      </c>
      <c r="G73" s="211">
        <f>E73/1000*F73</f>
        <v>118.98357424000001</v>
      </c>
    </row>
    <row r="74" spans="1:7" x14ac:dyDescent="0.2">
      <c r="A74" s="229"/>
      <c r="B74" s="4" t="s">
        <v>146</v>
      </c>
      <c r="C74" s="8">
        <v>39056</v>
      </c>
      <c r="D74" s="9"/>
      <c r="E74" s="9">
        <f>2*(E38+E50+E110)/5</f>
        <v>40439.199999999997</v>
      </c>
      <c r="F74" s="210">
        <v>1.4339999999999999</v>
      </c>
      <c r="G74" s="211">
        <f>E74/1000*F74</f>
        <v>57.989812799999996</v>
      </c>
    </row>
    <row r="75" spans="1:7" x14ac:dyDescent="0.2">
      <c r="A75" s="229"/>
      <c r="B75" s="4" t="s">
        <v>147</v>
      </c>
      <c r="C75" s="8">
        <v>38725</v>
      </c>
      <c r="D75" s="9"/>
      <c r="E75" s="9">
        <f>2*(E39+E51+E111)/5</f>
        <v>26408</v>
      </c>
      <c r="F75" s="210">
        <v>1.4590975324476709</v>
      </c>
      <c r="G75" s="211">
        <f>E75/1000*F75</f>
        <v>38.531847636878098</v>
      </c>
    </row>
    <row r="76" spans="1:7" x14ac:dyDescent="0.2">
      <c r="A76" s="228" t="s">
        <v>162</v>
      </c>
      <c r="B76" s="4" t="s">
        <v>133</v>
      </c>
      <c r="C76" s="8"/>
      <c r="D76" s="9"/>
      <c r="E76" s="9"/>
      <c r="F76" s="9"/>
      <c r="G76" s="211"/>
    </row>
    <row r="77" spans="1:7" x14ac:dyDescent="0.2">
      <c r="A77" s="229"/>
      <c r="B77" s="4" t="s">
        <v>134</v>
      </c>
      <c r="C77" s="8"/>
      <c r="D77" s="9"/>
      <c r="E77" s="9"/>
      <c r="F77" s="9"/>
      <c r="G77" s="211"/>
    </row>
    <row r="78" spans="1:7" x14ac:dyDescent="0.2">
      <c r="A78" s="229"/>
      <c r="B78" s="4" t="s">
        <v>136</v>
      </c>
      <c r="C78" s="8"/>
      <c r="D78" s="9"/>
      <c r="E78" s="9"/>
      <c r="F78" s="9"/>
      <c r="G78" s="211"/>
    </row>
    <row r="79" spans="1:7" x14ac:dyDescent="0.2">
      <c r="A79" s="229"/>
      <c r="B79" s="4" t="s">
        <v>138</v>
      </c>
      <c r="C79" s="8">
        <v>38838</v>
      </c>
      <c r="D79" s="9"/>
      <c r="E79" s="9">
        <v>43768</v>
      </c>
      <c r="F79" s="210">
        <v>1.4668270000000001</v>
      </c>
      <c r="G79" s="211">
        <f>(E79/1000)*1.466827</f>
        <v>64.200084136000001</v>
      </c>
    </row>
    <row r="80" spans="1:7" x14ac:dyDescent="0.2">
      <c r="A80" s="229"/>
      <c r="B80" s="4" t="s">
        <v>140</v>
      </c>
      <c r="C80" s="8">
        <v>38869</v>
      </c>
      <c r="D80" s="9"/>
      <c r="E80" s="9">
        <v>37168</v>
      </c>
      <c r="F80" s="210">
        <v>1.4599935477999999</v>
      </c>
      <c r="G80" s="211">
        <f>(E80/1000)*1.4599935478</f>
        <v>54.265040184630394</v>
      </c>
    </row>
    <row r="81" spans="1:7" x14ac:dyDescent="0.2">
      <c r="A81" s="229"/>
      <c r="B81" s="4" t="s">
        <v>141</v>
      </c>
      <c r="C81" s="8">
        <v>38896</v>
      </c>
      <c r="D81" s="9"/>
      <c r="E81" s="9">
        <v>243</v>
      </c>
      <c r="F81" s="210">
        <v>1.4480832863999999</v>
      </c>
      <c r="G81" s="211">
        <f>(E81/1000)*1.4480832864</f>
        <v>0.35188423859519996</v>
      </c>
    </row>
    <row r="82" spans="1:7" x14ac:dyDescent="0.2">
      <c r="A82" s="229"/>
      <c r="B82" s="4" t="s">
        <v>142</v>
      </c>
      <c r="C82" s="8">
        <v>38925</v>
      </c>
      <c r="D82" s="9"/>
      <c r="E82" s="9">
        <v>5728</v>
      </c>
      <c r="F82" s="210">
        <v>1.4396629599999999</v>
      </c>
      <c r="G82" s="211">
        <f>(E82/1000)*1.43966296</f>
        <v>8.2463894348799993</v>
      </c>
    </row>
    <row r="83" spans="1:7" x14ac:dyDescent="0.2">
      <c r="A83" s="229"/>
      <c r="B83" s="4" t="s">
        <v>143</v>
      </c>
      <c r="C83" s="8">
        <v>38965</v>
      </c>
      <c r="D83" s="9"/>
      <c r="E83" s="9">
        <v>66804</v>
      </c>
      <c r="F83" s="210">
        <v>1.4295233641</v>
      </c>
      <c r="G83" s="211">
        <f>(E83/1000)*1.4295233641</f>
        <v>95.497878815336406</v>
      </c>
    </row>
    <row r="84" spans="1:7" x14ac:dyDescent="0.2">
      <c r="A84" s="229"/>
      <c r="B84" s="4" t="s">
        <v>144</v>
      </c>
      <c r="C84" s="8">
        <v>38993</v>
      </c>
      <c r="D84" s="9"/>
      <c r="E84" s="9">
        <f>(E36+E48+E108)/5</f>
        <v>27971.200000000001</v>
      </c>
      <c r="F84" s="210">
        <v>1.424126085998608</v>
      </c>
      <c r="G84" s="211">
        <f>E84/1000*F84</f>
        <v>39.834515576684261</v>
      </c>
    </row>
    <row r="85" spans="1:7" x14ac:dyDescent="0.2">
      <c r="A85" s="229"/>
      <c r="B85" s="4" t="s">
        <v>145</v>
      </c>
      <c r="C85" s="8">
        <v>39035</v>
      </c>
      <c r="D85" s="9"/>
      <c r="E85" s="9">
        <f>(E37+E49+E109)/5</f>
        <v>41585.199999999997</v>
      </c>
      <c r="F85" s="210">
        <v>1.4306000000000001</v>
      </c>
      <c r="G85" s="211">
        <f>E85/1000*F85</f>
        <v>59.491787120000005</v>
      </c>
    </row>
    <row r="86" spans="1:7" x14ac:dyDescent="0.2">
      <c r="A86" s="229"/>
      <c r="B86" s="4" t="s">
        <v>146</v>
      </c>
      <c r="C86" s="8">
        <v>39056</v>
      </c>
      <c r="D86" s="9"/>
      <c r="E86" s="9">
        <f>(E38+E50+E110)/5</f>
        <v>20219.599999999999</v>
      </c>
      <c r="F86" s="210">
        <v>1.4339999999999999</v>
      </c>
      <c r="G86" s="211">
        <f>E86/1000*F86</f>
        <v>28.994906399999998</v>
      </c>
    </row>
    <row r="87" spans="1:7" x14ac:dyDescent="0.2">
      <c r="A87" s="229"/>
      <c r="B87" s="4" t="s">
        <v>147</v>
      </c>
      <c r="C87" s="8">
        <v>38725</v>
      </c>
      <c r="D87" s="9"/>
      <c r="E87" s="9">
        <f>(E39+E51+E111)/5</f>
        <v>13204</v>
      </c>
      <c r="F87" s="210">
        <v>1.4590975324476709</v>
      </c>
      <c r="G87" s="211">
        <f>E87/1000*F87</f>
        <v>19.265923818439049</v>
      </c>
    </row>
    <row r="88" spans="1:7" x14ac:dyDescent="0.2">
      <c r="A88" s="228" t="s">
        <v>163</v>
      </c>
      <c r="B88" s="4" t="s">
        <v>133</v>
      </c>
      <c r="C88" s="8"/>
      <c r="D88" s="9"/>
      <c r="E88" s="9"/>
      <c r="F88" s="9"/>
      <c r="G88" s="211"/>
    </row>
    <row r="89" spans="1:7" x14ac:dyDescent="0.2">
      <c r="A89" s="229"/>
      <c r="B89" s="4" t="s">
        <v>134</v>
      </c>
      <c r="C89" s="8"/>
      <c r="D89" s="9"/>
      <c r="E89" s="9"/>
      <c r="F89" s="9"/>
      <c r="G89" s="211"/>
    </row>
    <row r="90" spans="1:7" x14ac:dyDescent="0.2">
      <c r="A90" s="229"/>
      <c r="B90" s="4" t="s">
        <v>136</v>
      </c>
      <c r="C90" s="8"/>
      <c r="D90" s="3"/>
      <c r="E90" s="3"/>
      <c r="F90" s="3"/>
      <c r="G90" s="211"/>
    </row>
    <row r="91" spans="1:7" x14ac:dyDescent="0.2">
      <c r="A91" s="229"/>
      <c r="B91" s="4" t="s">
        <v>138</v>
      </c>
      <c r="C91" s="8">
        <v>38838</v>
      </c>
      <c r="D91" s="9"/>
      <c r="E91" s="9">
        <v>43768</v>
      </c>
      <c r="F91" s="210">
        <v>1.4668270000000001</v>
      </c>
      <c r="G91" s="211">
        <f>(E91/1000)*1.466827</f>
        <v>64.200084136000001</v>
      </c>
    </row>
    <row r="92" spans="1:7" x14ac:dyDescent="0.2">
      <c r="A92" s="229"/>
      <c r="B92" s="4" t="s">
        <v>140</v>
      </c>
      <c r="C92" s="8">
        <v>38869</v>
      </c>
      <c r="D92" s="9"/>
      <c r="E92" s="9">
        <v>37168</v>
      </c>
      <c r="F92" s="210">
        <v>1.4599935477999999</v>
      </c>
      <c r="G92" s="211">
        <f>(E92/1000)*1.4599935478</f>
        <v>54.265040184630394</v>
      </c>
    </row>
    <row r="93" spans="1:7" x14ac:dyDescent="0.2">
      <c r="A93" s="229"/>
      <c r="B93" s="4" t="s">
        <v>141</v>
      </c>
      <c r="C93" s="8">
        <v>38896</v>
      </c>
      <c r="D93" s="9"/>
      <c r="E93" s="9">
        <v>243</v>
      </c>
      <c r="F93" s="210">
        <v>1.4480832863999999</v>
      </c>
      <c r="G93" s="211">
        <f>(E93/1000)*1.4480832864</f>
        <v>0.35188423859519996</v>
      </c>
    </row>
    <row r="94" spans="1:7" x14ac:dyDescent="0.2">
      <c r="A94" s="229"/>
      <c r="B94" s="4" t="s">
        <v>142</v>
      </c>
      <c r="C94" s="8">
        <v>38925</v>
      </c>
      <c r="D94" s="9"/>
      <c r="E94" s="9">
        <v>5728</v>
      </c>
      <c r="F94" s="210">
        <v>1.4396629599999999</v>
      </c>
      <c r="G94" s="211">
        <f>(E94/1000)*1.43966296</f>
        <v>8.2463894348799993</v>
      </c>
    </row>
    <row r="95" spans="1:7" x14ac:dyDescent="0.2">
      <c r="A95" s="229"/>
      <c r="B95" s="4" t="s">
        <v>143</v>
      </c>
      <c r="C95" s="8">
        <v>38965</v>
      </c>
      <c r="D95" s="9"/>
      <c r="E95" s="9">
        <v>66804</v>
      </c>
      <c r="F95" s="210">
        <v>1.4295233641</v>
      </c>
      <c r="G95" s="211">
        <f>(E95/1000)*1.4295233641</f>
        <v>95.497878815336406</v>
      </c>
    </row>
    <row r="96" spans="1:7" x14ac:dyDescent="0.2">
      <c r="A96" s="229"/>
      <c r="B96" s="4" t="s">
        <v>144</v>
      </c>
      <c r="C96" s="8">
        <v>38993</v>
      </c>
      <c r="D96" s="9"/>
      <c r="E96" s="9">
        <f>2*(E36+E48+E108)/5</f>
        <v>55942.400000000001</v>
      </c>
      <c r="F96" s="210">
        <v>1.424126085998608</v>
      </c>
      <c r="G96" s="211">
        <f>E96/1000*F96</f>
        <v>79.669031153368522</v>
      </c>
    </row>
    <row r="97" spans="1:7" x14ac:dyDescent="0.2">
      <c r="A97" s="229"/>
      <c r="B97" s="4" t="s">
        <v>145</v>
      </c>
      <c r="C97" s="8">
        <v>39035</v>
      </c>
      <c r="D97" s="9"/>
      <c r="E97" s="9">
        <f>2*(E37+E49+E109)/5</f>
        <v>83170.399999999994</v>
      </c>
      <c r="F97" s="210">
        <v>1.4306000000000001</v>
      </c>
      <c r="G97" s="211">
        <f>E97/1000*F97</f>
        <v>118.98357424000001</v>
      </c>
    </row>
    <row r="98" spans="1:7" x14ac:dyDescent="0.2">
      <c r="A98" s="229"/>
      <c r="B98" s="4" t="s">
        <v>146</v>
      </c>
      <c r="C98" s="8">
        <v>39056</v>
      </c>
      <c r="D98" s="9"/>
      <c r="E98" s="9">
        <f>2*(E38+E50+E110)/5</f>
        <v>40439.199999999997</v>
      </c>
      <c r="F98" s="210">
        <v>1.4339999999999999</v>
      </c>
      <c r="G98" s="211">
        <f>E98/1000*F98</f>
        <v>57.989812799999996</v>
      </c>
    </row>
    <row r="99" spans="1:7" x14ac:dyDescent="0.2">
      <c r="A99" s="229"/>
      <c r="B99" s="4" t="s">
        <v>147</v>
      </c>
      <c r="C99" s="8">
        <v>38725</v>
      </c>
      <c r="D99" s="9"/>
      <c r="E99" s="9">
        <f>2*(E39+E51+E111)/5</f>
        <v>26408</v>
      </c>
      <c r="F99" s="210">
        <v>1.4590975324476709</v>
      </c>
      <c r="G99" s="211">
        <f>E99/1000*F99</f>
        <v>38.531847636878098</v>
      </c>
    </row>
    <row r="100" spans="1:7" x14ac:dyDescent="0.2">
      <c r="A100" s="228" t="s">
        <v>164</v>
      </c>
      <c r="B100" s="4" t="s">
        <v>133</v>
      </c>
      <c r="C100" s="8"/>
      <c r="D100" s="9"/>
      <c r="E100" s="9"/>
      <c r="F100" s="9"/>
      <c r="G100" s="211"/>
    </row>
    <row r="101" spans="1:7" x14ac:dyDescent="0.2">
      <c r="A101" s="229"/>
      <c r="B101" s="4" t="s">
        <v>134</v>
      </c>
      <c r="C101" s="8"/>
      <c r="D101" s="9"/>
      <c r="E101" s="9"/>
      <c r="F101" s="9"/>
      <c r="G101" s="211"/>
    </row>
    <row r="102" spans="1:7" x14ac:dyDescent="0.2">
      <c r="A102" s="229"/>
      <c r="B102" s="4" t="s">
        <v>136</v>
      </c>
      <c r="C102" s="8"/>
      <c r="D102" s="9">
        <v>112633</v>
      </c>
      <c r="E102" s="9"/>
      <c r="F102" s="9"/>
      <c r="G102" s="211"/>
    </row>
    <row r="103" spans="1:7" x14ac:dyDescent="0.2">
      <c r="A103" s="229"/>
      <c r="B103" s="4" t="s">
        <v>138</v>
      </c>
      <c r="C103" s="8">
        <v>38838</v>
      </c>
      <c r="D103" s="9">
        <v>144880</v>
      </c>
      <c r="E103" s="9">
        <f>D103-D102</f>
        <v>32247</v>
      </c>
      <c r="F103" s="210">
        <v>1.4668270000000001</v>
      </c>
      <c r="G103" s="211">
        <f>(E103/1000)*1.466827</f>
        <v>47.300770269000004</v>
      </c>
    </row>
    <row r="104" spans="1:7" x14ac:dyDescent="0.2">
      <c r="A104" s="229"/>
      <c r="B104" s="4" t="s">
        <v>140</v>
      </c>
      <c r="C104" s="8">
        <v>38869</v>
      </c>
      <c r="D104" s="9">
        <v>166851</v>
      </c>
      <c r="E104" s="9">
        <f>D104-D103</f>
        <v>21971</v>
      </c>
      <c r="F104" s="210">
        <v>1.4599935477999999</v>
      </c>
      <c r="G104" s="211">
        <f>(E104/1000)*1.4599935478</f>
        <v>32.0775182387138</v>
      </c>
    </row>
    <row r="105" spans="1:7" x14ac:dyDescent="0.2">
      <c r="A105" s="229"/>
      <c r="B105" s="4" t="s">
        <v>141</v>
      </c>
      <c r="C105" s="8">
        <v>38896</v>
      </c>
      <c r="D105" s="9">
        <v>166924</v>
      </c>
      <c r="E105" s="9">
        <f>D105-D104</f>
        <v>73</v>
      </c>
      <c r="F105" s="210">
        <v>1.4480832863999999</v>
      </c>
      <c r="G105" s="211">
        <f>(E105/1000)*1.4480832864</f>
        <v>0.10571007990719999</v>
      </c>
    </row>
    <row r="106" spans="1:7" x14ac:dyDescent="0.2">
      <c r="A106" s="229"/>
      <c r="B106" s="4" t="s">
        <v>142</v>
      </c>
      <c r="C106" s="8">
        <v>38925</v>
      </c>
      <c r="D106" s="13">
        <v>16170</v>
      </c>
      <c r="E106" s="9">
        <v>16170</v>
      </c>
      <c r="F106" s="210">
        <v>1.4396629599999999</v>
      </c>
      <c r="G106" s="211">
        <f>(E106/1000)*1.43966296</f>
        <v>23.279350063200003</v>
      </c>
    </row>
    <row r="107" spans="1:7" x14ac:dyDescent="0.2">
      <c r="A107" s="229"/>
      <c r="B107" s="4" t="s">
        <v>143</v>
      </c>
      <c r="C107" s="8">
        <v>38965</v>
      </c>
      <c r="D107" s="9">
        <v>175583</v>
      </c>
      <c r="E107" s="9">
        <f>D107-D106</f>
        <v>159413</v>
      </c>
      <c r="F107" s="210">
        <v>1.4295233641</v>
      </c>
      <c r="G107" s="211">
        <f>(E107/1000)*1.4295233641</f>
        <v>227.88460804127331</v>
      </c>
    </row>
    <row r="108" spans="1:7" x14ac:dyDescent="0.2">
      <c r="A108" s="229"/>
      <c r="B108" s="4" t="s">
        <v>144</v>
      </c>
      <c r="C108" s="8">
        <v>38993</v>
      </c>
      <c r="D108" s="9">
        <v>201419</v>
      </c>
      <c r="E108" s="9">
        <f>D108-D107</f>
        <v>25836</v>
      </c>
      <c r="F108" s="210">
        <v>1.424126085998608</v>
      </c>
      <c r="G108" s="211">
        <f>(E108/1000)*1.4295233641</f>
        <v>36.933165634887601</v>
      </c>
    </row>
    <row r="109" spans="1:7" x14ac:dyDescent="0.2">
      <c r="A109" s="229"/>
      <c r="B109" s="4" t="s">
        <v>145</v>
      </c>
      <c r="C109" s="8">
        <v>39035</v>
      </c>
      <c r="D109" s="9">
        <v>239767</v>
      </c>
      <c r="E109" s="9">
        <f>D109-D108</f>
        <v>38348</v>
      </c>
      <c r="F109" s="210">
        <v>1.4306000000000001</v>
      </c>
      <c r="G109" s="211">
        <f>(E109/1000)*1.4295233641</f>
        <v>54.819361966506797</v>
      </c>
    </row>
    <row r="110" spans="1:7" x14ac:dyDescent="0.2">
      <c r="A110" s="229"/>
      <c r="B110" s="4" t="s">
        <v>146</v>
      </c>
      <c r="C110" s="8">
        <v>39056</v>
      </c>
      <c r="D110" s="9">
        <v>255060</v>
      </c>
      <c r="E110" s="9">
        <f>D110-D109</f>
        <v>15293</v>
      </c>
      <c r="F110" s="210">
        <v>1.4339999999999999</v>
      </c>
      <c r="G110" s="211">
        <f>(E110/1000)*1.4295233641</f>
        <v>21.8617008071813</v>
      </c>
    </row>
    <row r="111" spans="1:7" x14ac:dyDescent="0.2">
      <c r="A111" s="229"/>
      <c r="B111" s="4" t="s">
        <v>147</v>
      </c>
      <c r="C111" s="8">
        <v>38725</v>
      </c>
      <c r="D111" s="47">
        <v>265481</v>
      </c>
      <c r="E111" s="9">
        <f>D111-D110</f>
        <v>10421</v>
      </c>
      <c r="F111" s="210">
        <v>1.4590975324476709</v>
      </c>
      <c r="G111" s="211">
        <f>(E111/1000)*1.4295233641</f>
        <v>14.897062977286099</v>
      </c>
    </row>
    <row r="112" spans="1:7" x14ac:dyDescent="0.2">
      <c r="A112" s="228" t="s">
        <v>165</v>
      </c>
      <c r="B112" s="4" t="s">
        <v>133</v>
      </c>
      <c r="C112" s="8"/>
      <c r="D112" s="9"/>
      <c r="E112" s="9"/>
      <c r="F112" s="9"/>
      <c r="G112" s="211"/>
    </row>
    <row r="113" spans="1:7" x14ac:dyDescent="0.2">
      <c r="A113" s="229"/>
      <c r="B113" s="4" t="s">
        <v>134</v>
      </c>
      <c r="C113" s="8"/>
      <c r="D113" s="9"/>
      <c r="E113" s="9"/>
      <c r="F113" s="9"/>
      <c r="G113" s="211"/>
    </row>
    <row r="114" spans="1:7" x14ac:dyDescent="0.2">
      <c r="A114" s="229"/>
      <c r="B114" s="4" t="s">
        <v>136</v>
      </c>
      <c r="C114" s="8"/>
      <c r="D114" s="9"/>
      <c r="E114" s="9"/>
      <c r="F114" s="9"/>
      <c r="G114" s="211"/>
    </row>
    <row r="115" spans="1:7" x14ac:dyDescent="0.2">
      <c r="A115" s="229"/>
      <c r="B115" s="4" t="s">
        <v>138</v>
      </c>
      <c r="C115" s="8">
        <v>38838</v>
      </c>
      <c r="D115" s="9"/>
      <c r="E115" s="9">
        <v>43768</v>
      </c>
      <c r="F115" s="210">
        <v>1.4668270000000001</v>
      </c>
      <c r="G115" s="211">
        <f>(E115/1000)*1.466827</f>
        <v>64.200084136000001</v>
      </c>
    </row>
    <row r="116" spans="1:7" x14ac:dyDescent="0.2">
      <c r="A116" s="229"/>
      <c r="B116" s="4" t="s">
        <v>140</v>
      </c>
      <c r="C116" s="8">
        <v>38869</v>
      </c>
      <c r="D116" s="9"/>
      <c r="E116" s="9">
        <v>37168</v>
      </c>
      <c r="F116" s="210">
        <v>1.4599935477999999</v>
      </c>
      <c r="G116" s="211">
        <f>(E116/1000)*1.4599935478</f>
        <v>54.265040184630394</v>
      </c>
    </row>
    <row r="117" spans="1:7" x14ac:dyDescent="0.2">
      <c r="A117" s="229"/>
      <c r="B117" s="4" t="s">
        <v>141</v>
      </c>
      <c r="C117" s="8">
        <v>38896</v>
      </c>
      <c r="D117" s="9"/>
      <c r="E117" s="9">
        <v>243</v>
      </c>
      <c r="F117" s="210">
        <v>1.4480832863999999</v>
      </c>
      <c r="G117" s="211">
        <f>(E117/1000)*1.4480832864</f>
        <v>0.35188423859519996</v>
      </c>
    </row>
    <row r="118" spans="1:7" x14ac:dyDescent="0.2">
      <c r="A118" s="229"/>
      <c r="B118" s="4" t="s">
        <v>142</v>
      </c>
      <c r="C118" s="8">
        <v>38925</v>
      </c>
      <c r="D118" s="9"/>
      <c r="E118" s="9">
        <v>5728</v>
      </c>
      <c r="F118" s="210">
        <v>1.4396629599999999</v>
      </c>
      <c r="G118" s="211">
        <f>(E118/1000)*1.43966296</f>
        <v>8.2463894348799993</v>
      </c>
    </row>
    <row r="119" spans="1:7" x14ac:dyDescent="0.2">
      <c r="A119" s="229"/>
      <c r="B119" s="4" t="s">
        <v>143</v>
      </c>
      <c r="C119" s="8">
        <v>38965</v>
      </c>
      <c r="D119" s="9"/>
      <c r="E119" s="9">
        <v>66804</v>
      </c>
      <c r="F119" s="210">
        <v>1.4295233641</v>
      </c>
      <c r="G119" s="211">
        <f>(E119/1000)*1.4295233641</f>
        <v>95.497878815336406</v>
      </c>
    </row>
    <row r="120" spans="1:7" x14ac:dyDescent="0.2">
      <c r="A120" s="229"/>
      <c r="B120" s="4" t="s">
        <v>144</v>
      </c>
      <c r="C120" s="8">
        <v>38993</v>
      </c>
      <c r="D120" s="9"/>
      <c r="E120" s="9">
        <f>2*(E36+E48+E108)/5</f>
        <v>55942.400000000001</v>
      </c>
      <c r="F120" s="210">
        <v>1.424126085998608</v>
      </c>
      <c r="G120" s="211">
        <f>E120/1000*F120</f>
        <v>79.669031153368522</v>
      </c>
    </row>
    <row r="121" spans="1:7" x14ac:dyDescent="0.2">
      <c r="A121" s="229"/>
      <c r="B121" s="4" t="s">
        <v>145</v>
      </c>
      <c r="C121" s="8">
        <v>39035</v>
      </c>
      <c r="D121" s="9"/>
      <c r="E121" s="9">
        <f>2*(E37+E49+E109)/5</f>
        <v>83170.399999999994</v>
      </c>
      <c r="F121" s="210">
        <v>1.4306000000000001</v>
      </c>
      <c r="G121" s="211">
        <f>E121/1000*F121</f>
        <v>118.98357424000001</v>
      </c>
    </row>
    <row r="122" spans="1:7" x14ac:dyDescent="0.2">
      <c r="A122" s="229"/>
      <c r="B122" s="4" t="s">
        <v>146</v>
      </c>
      <c r="C122" s="8">
        <v>39056</v>
      </c>
      <c r="D122" s="9"/>
      <c r="E122" s="9">
        <f>2*(E38+E50+E110)/5</f>
        <v>40439.199999999997</v>
      </c>
      <c r="F122" s="210">
        <v>1.4339999999999999</v>
      </c>
      <c r="G122" s="211">
        <f>E122/1000*F122</f>
        <v>57.989812799999996</v>
      </c>
    </row>
    <row r="123" spans="1:7" x14ac:dyDescent="0.2">
      <c r="A123" s="229"/>
      <c r="B123" s="4" t="s">
        <v>147</v>
      </c>
      <c r="C123" s="8">
        <v>38725</v>
      </c>
      <c r="D123" s="9"/>
      <c r="E123" s="9">
        <f>2*(E39+E51+E111)/5</f>
        <v>26408</v>
      </c>
      <c r="F123" s="210">
        <v>1.4590975324476709</v>
      </c>
      <c r="G123" s="211">
        <f>E123/1000*F123</f>
        <v>38.531847636878098</v>
      </c>
    </row>
    <row r="124" spans="1:7" x14ac:dyDescent="0.2">
      <c r="A124" s="228" t="s">
        <v>166</v>
      </c>
      <c r="B124" s="4" t="s">
        <v>133</v>
      </c>
      <c r="C124" s="8"/>
      <c r="D124" s="9"/>
      <c r="E124" s="9"/>
      <c r="F124" s="9"/>
      <c r="G124" s="211"/>
    </row>
    <row r="125" spans="1:7" x14ac:dyDescent="0.2">
      <c r="A125" s="229"/>
      <c r="B125" s="4" t="s">
        <v>134</v>
      </c>
      <c r="C125" s="8"/>
      <c r="D125" s="9"/>
      <c r="E125" s="9"/>
      <c r="F125" s="9"/>
      <c r="G125" s="211"/>
    </row>
    <row r="126" spans="1:7" x14ac:dyDescent="0.2">
      <c r="A126" s="229"/>
      <c r="B126" s="4" t="s">
        <v>136</v>
      </c>
      <c r="C126" s="8"/>
      <c r="D126" s="9"/>
      <c r="E126" s="9"/>
      <c r="F126" s="9"/>
      <c r="G126" s="211"/>
    </row>
    <row r="127" spans="1:7" x14ac:dyDescent="0.2">
      <c r="A127" s="229"/>
      <c r="B127" s="4" t="s">
        <v>138</v>
      </c>
      <c r="C127" s="8">
        <v>38838</v>
      </c>
      <c r="D127" s="9"/>
      <c r="E127" s="9">
        <v>43768</v>
      </c>
      <c r="F127" s="210">
        <v>1.4668270000000001</v>
      </c>
      <c r="G127" s="211">
        <f>(E127/1000)*1.466827</f>
        <v>64.200084136000001</v>
      </c>
    </row>
    <row r="128" spans="1:7" x14ac:dyDescent="0.2">
      <c r="A128" s="229"/>
      <c r="B128" s="4" t="s">
        <v>140</v>
      </c>
      <c r="C128" s="8">
        <v>38869</v>
      </c>
      <c r="D128" s="9"/>
      <c r="E128" s="9">
        <v>37168</v>
      </c>
      <c r="F128" s="210">
        <v>1.4599935477999999</v>
      </c>
      <c r="G128" s="211">
        <f>(E128/1000)*1.4599935478</f>
        <v>54.265040184630394</v>
      </c>
    </row>
    <row r="129" spans="1:8" x14ac:dyDescent="0.2">
      <c r="A129" s="229"/>
      <c r="B129" s="4" t="s">
        <v>141</v>
      </c>
      <c r="C129" s="8">
        <v>38896</v>
      </c>
      <c r="D129" s="9"/>
      <c r="E129" s="9">
        <v>243</v>
      </c>
      <c r="F129" s="210">
        <v>1.4480832863999999</v>
      </c>
      <c r="G129" s="211">
        <f>(E129/1000)*1.4480832864</f>
        <v>0.35188423859519996</v>
      </c>
    </row>
    <row r="130" spans="1:8" x14ac:dyDescent="0.2">
      <c r="A130" s="229"/>
      <c r="B130" s="4" t="s">
        <v>142</v>
      </c>
      <c r="C130" s="8">
        <v>38925</v>
      </c>
      <c r="D130" s="9"/>
      <c r="E130" s="9">
        <v>5728</v>
      </c>
      <c r="F130" s="210">
        <v>1.4396629599999999</v>
      </c>
      <c r="G130" s="211">
        <f>(E130/1000)*1.43966296</f>
        <v>8.2463894348799993</v>
      </c>
    </row>
    <row r="131" spans="1:8" x14ac:dyDescent="0.2">
      <c r="A131" s="229"/>
      <c r="B131" s="4" t="s">
        <v>143</v>
      </c>
      <c r="C131" s="8">
        <v>38965</v>
      </c>
      <c r="D131" s="9"/>
      <c r="E131" s="9">
        <v>66804</v>
      </c>
      <c r="F131" s="210">
        <v>1.4295233641</v>
      </c>
      <c r="G131" s="211">
        <f>(E131/1000)*1.4295233641</f>
        <v>95.497878815336406</v>
      </c>
    </row>
    <row r="132" spans="1:8" x14ac:dyDescent="0.2">
      <c r="A132" s="229"/>
      <c r="B132" s="4" t="s">
        <v>144</v>
      </c>
      <c r="C132" s="8">
        <v>38993</v>
      </c>
      <c r="D132" s="9"/>
      <c r="E132" s="9">
        <f>2*(E36+E48+E108)/5</f>
        <v>55942.400000000001</v>
      </c>
      <c r="F132" s="210">
        <v>1.424126085998608</v>
      </c>
      <c r="G132" s="211">
        <f>E132/1000*F132</f>
        <v>79.669031153368522</v>
      </c>
    </row>
    <row r="133" spans="1:8" x14ac:dyDescent="0.2">
      <c r="A133" s="229"/>
      <c r="B133" s="4" t="s">
        <v>145</v>
      </c>
      <c r="C133" s="8">
        <v>39035</v>
      </c>
      <c r="D133" s="9"/>
      <c r="E133" s="9">
        <f>2*(E37+E49+E109)/5</f>
        <v>83170.399999999994</v>
      </c>
      <c r="F133" s="210">
        <v>1.4306000000000001</v>
      </c>
      <c r="G133" s="211">
        <f>E133/1000*F133</f>
        <v>118.98357424000001</v>
      </c>
    </row>
    <row r="134" spans="1:8" x14ac:dyDescent="0.2">
      <c r="A134" s="229"/>
      <c r="B134" s="4" t="s">
        <v>146</v>
      </c>
      <c r="C134" s="8">
        <v>39056</v>
      </c>
      <c r="D134" s="9"/>
      <c r="E134" s="9">
        <f>2*(E38+E50+E110)/5</f>
        <v>40439.199999999997</v>
      </c>
      <c r="F134" s="210">
        <v>1.4339999999999999</v>
      </c>
      <c r="G134" s="211">
        <f>E134/1000*F134</f>
        <v>57.989812799999996</v>
      </c>
    </row>
    <row r="135" spans="1:8" x14ac:dyDescent="0.2">
      <c r="A135" s="229"/>
      <c r="B135" s="4" t="s">
        <v>147</v>
      </c>
      <c r="C135" s="8">
        <v>38725</v>
      </c>
      <c r="D135" s="9"/>
      <c r="E135" s="9">
        <f>2*(E39+E51+E111)/5</f>
        <v>26408</v>
      </c>
      <c r="F135" s="210">
        <v>1.4590975324476709</v>
      </c>
      <c r="G135" s="211">
        <f>E135/1000*F135</f>
        <v>38.531847636878098</v>
      </c>
    </row>
    <row r="136" spans="1:8" x14ac:dyDescent="0.2">
      <c r="A136" s="31"/>
      <c r="B136" s="45"/>
      <c r="C136" s="45"/>
      <c r="D136" s="45"/>
      <c r="E136" s="45"/>
      <c r="F136" s="45"/>
      <c r="G136" s="218"/>
      <c r="H136" s="208"/>
    </row>
    <row r="137" spans="1:8" x14ac:dyDescent="0.2">
      <c r="A137" s="5" t="s">
        <v>34</v>
      </c>
      <c r="B137" s="44"/>
      <c r="C137" s="45"/>
      <c r="D137" s="45"/>
      <c r="E137" s="45"/>
      <c r="F137" s="45"/>
      <c r="G137" s="218"/>
    </row>
    <row r="138" spans="1:8" x14ac:dyDescent="0.2">
      <c r="A138" s="5" t="s">
        <v>99</v>
      </c>
      <c r="B138" s="44"/>
      <c r="C138" s="45"/>
      <c r="D138" s="45"/>
      <c r="E138" s="45"/>
      <c r="F138" s="45"/>
      <c r="G138" s="45"/>
    </row>
    <row r="139" spans="1:8" x14ac:dyDescent="0.2">
      <c r="A139" s="31" t="s">
        <v>167</v>
      </c>
      <c r="B139" s="44"/>
      <c r="C139" s="45"/>
      <c r="D139" s="45"/>
      <c r="E139" s="45"/>
      <c r="F139" s="45"/>
      <c r="G139" s="45"/>
    </row>
    <row r="140" spans="1:8" x14ac:dyDescent="0.2">
      <c r="A140" s="31" t="s">
        <v>38</v>
      </c>
      <c r="B140" s="44"/>
      <c r="C140" s="45"/>
      <c r="D140" s="45"/>
      <c r="E140" s="45"/>
      <c r="F140" s="45"/>
      <c r="G140" s="45"/>
    </row>
    <row r="141" spans="1:8" x14ac:dyDescent="0.2">
      <c r="A141" s="31" t="s">
        <v>39</v>
      </c>
      <c r="B141" s="44"/>
      <c r="C141" s="45"/>
      <c r="D141" s="45"/>
      <c r="E141" s="45"/>
      <c r="F141" s="45"/>
      <c r="G141" s="45"/>
    </row>
    <row r="142" spans="1:8" x14ac:dyDescent="0.2">
      <c r="A142" s="31"/>
      <c r="B142" s="44"/>
      <c r="C142" s="45"/>
      <c r="D142" s="45"/>
      <c r="E142" s="45"/>
      <c r="F142" s="45"/>
      <c r="G142" s="45"/>
    </row>
    <row r="143" spans="1:8" x14ac:dyDescent="0.2">
      <c r="A143" s="31"/>
      <c r="B143" s="44"/>
      <c r="C143" s="45"/>
      <c r="D143" s="45"/>
      <c r="E143" s="45"/>
      <c r="F143" s="45"/>
      <c r="G143" s="45"/>
    </row>
    <row r="144" spans="1:8" x14ac:dyDescent="0.2">
      <c r="A144" s="31"/>
      <c r="B144" s="44"/>
    </row>
    <row r="145" spans="1:2" x14ac:dyDescent="0.2">
      <c r="A145" s="31"/>
      <c r="B145" s="44"/>
    </row>
    <row r="146" spans="1:2" x14ac:dyDescent="0.2">
      <c r="A146" s="31"/>
      <c r="B146" s="44"/>
    </row>
    <row r="147" spans="1:2" x14ac:dyDescent="0.2">
      <c r="A147" s="31"/>
      <c r="B147" s="44"/>
    </row>
    <row r="148" spans="1:2" x14ac:dyDescent="0.2">
      <c r="A148" s="31"/>
      <c r="B148" s="44"/>
    </row>
    <row r="149" spans="1:2" x14ac:dyDescent="0.2">
      <c r="A149" s="31"/>
      <c r="B149" s="44"/>
    </row>
    <row r="150" spans="1:2" x14ac:dyDescent="0.2">
      <c r="A150" s="31"/>
      <c r="B150" s="44"/>
    </row>
    <row r="151" spans="1:2" x14ac:dyDescent="0.2">
      <c r="A151" s="31"/>
      <c r="B151" s="44"/>
    </row>
    <row r="152" spans="1:2" x14ac:dyDescent="0.2">
      <c r="A152" s="31"/>
      <c r="B152" s="44"/>
    </row>
    <row r="153" spans="1:2" x14ac:dyDescent="0.2">
      <c r="A153" s="31"/>
      <c r="B153" s="44"/>
    </row>
    <row r="154" spans="1:2" x14ac:dyDescent="0.2">
      <c r="A154" s="31"/>
      <c r="B154" s="44"/>
    </row>
    <row r="155" spans="1:2" x14ac:dyDescent="0.2">
      <c r="A155" s="31"/>
      <c r="B155" s="44"/>
    </row>
    <row r="156" spans="1:2" x14ac:dyDescent="0.2">
      <c r="A156" s="31"/>
      <c r="B156" s="44"/>
    </row>
    <row r="157" spans="1:2" x14ac:dyDescent="0.2">
      <c r="A157" s="31"/>
      <c r="B157" s="44"/>
    </row>
    <row r="158" spans="1:2" x14ac:dyDescent="0.2">
      <c r="A158" s="31"/>
      <c r="B158" s="44"/>
    </row>
    <row r="159" spans="1:2" x14ac:dyDescent="0.2">
      <c r="A159" s="31"/>
      <c r="B159" s="44"/>
    </row>
    <row r="160" spans="1:2" x14ac:dyDescent="0.2">
      <c r="A160" s="31"/>
      <c r="B160" s="44"/>
    </row>
    <row r="161" spans="1:2" x14ac:dyDescent="0.2">
      <c r="A161" s="31"/>
      <c r="B161" s="44"/>
    </row>
    <row r="162" spans="1:2" x14ac:dyDescent="0.2">
      <c r="A162" s="31"/>
      <c r="B162" s="44"/>
    </row>
    <row r="163" spans="1:2" x14ac:dyDescent="0.2">
      <c r="A163" s="31"/>
      <c r="B163" s="44"/>
    </row>
    <row r="164" spans="1:2" x14ac:dyDescent="0.2">
      <c r="A164" s="31"/>
      <c r="B164" s="44"/>
    </row>
    <row r="165" spans="1:2" x14ac:dyDescent="0.2">
      <c r="A165" s="31"/>
      <c r="B165" s="44"/>
    </row>
    <row r="166" spans="1:2" x14ac:dyDescent="0.2">
      <c r="A166" s="31"/>
      <c r="B166" s="44"/>
    </row>
    <row r="167" spans="1:2" x14ac:dyDescent="0.2">
      <c r="A167" s="31"/>
      <c r="B167" s="44"/>
    </row>
    <row r="168" spans="1:2" x14ac:dyDescent="0.2">
      <c r="A168" s="31"/>
      <c r="B168" s="44"/>
    </row>
    <row r="169" spans="1:2" x14ac:dyDescent="0.2">
      <c r="A169" s="31"/>
      <c r="B169" s="44"/>
    </row>
    <row r="170" spans="1:2" x14ac:dyDescent="0.2">
      <c r="A170" s="31"/>
      <c r="B170" s="44"/>
    </row>
    <row r="171" spans="1:2" x14ac:dyDescent="0.2">
      <c r="A171" s="31"/>
      <c r="B171" s="44"/>
    </row>
    <row r="172" spans="1:2" x14ac:dyDescent="0.2">
      <c r="A172" s="31"/>
      <c r="B172" s="44"/>
    </row>
    <row r="173" spans="1:2" x14ac:dyDescent="0.2">
      <c r="A173" s="31"/>
      <c r="B173" s="44"/>
    </row>
    <row r="174" spans="1:2" x14ac:dyDescent="0.2">
      <c r="A174" s="31"/>
      <c r="B174" s="44"/>
    </row>
    <row r="175" spans="1:2" x14ac:dyDescent="0.2">
      <c r="A175" s="31"/>
      <c r="B175" s="44"/>
    </row>
    <row r="176" spans="1:2" x14ac:dyDescent="0.2">
      <c r="A176" s="31"/>
      <c r="B176" s="44"/>
    </row>
    <row r="177" spans="1:2" x14ac:dyDescent="0.2">
      <c r="A177" s="31"/>
      <c r="B177" s="44"/>
    </row>
    <row r="178" spans="1:2" x14ac:dyDescent="0.2">
      <c r="A178" s="31"/>
      <c r="B178" s="44"/>
    </row>
    <row r="179" spans="1:2" x14ac:dyDescent="0.2">
      <c r="A179" s="31"/>
      <c r="B179" s="44"/>
    </row>
    <row r="180" spans="1:2" x14ac:dyDescent="0.2">
      <c r="A180" s="31"/>
      <c r="B180" s="44"/>
    </row>
    <row r="181" spans="1:2" x14ac:dyDescent="0.2">
      <c r="A181" s="31"/>
      <c r="B181" s="44"/>
    </row>
    <row r="182" spans="1:2" x14ac:dyDescent="0.2">
      <c r="A182" s="31"/>
      <c r="B182" s="44"/>
    </row>
    <row r="183" spans="1:2" x14ac:dyDescent="0.2">
      <c r="A183" s="31"/>
      <c r="B183" s="44"/>
    </row>
    <row r="184" spans="1:2" x14ac:dyDescent="0.2">
      <c r="A184" s="31"/>
      <c r="B184" s="44"/>
    </row>
    <row r="185" spans="1:2" x14ac:dyDescent="0.2">
      <c r="A185" s="31"/>
      <c r="B185" s="44"/>
    </row>
    <row r="186" spans="1:2" x14ac:dyDescent="0.2">
      <c r="A186" s="31"/>
      <c r="B186" s="44"/>
    </row>
    <row r="187" spans="1:2" x14ac:dyDescent="0.2">
      <c r="A187" s="31"/>
      <c r="B187" s="44"/>
    </row>
    <row r="188" spans="1:2" x14ac:dyDescent="0.2">
      <c r="A188" s="31"/>
      <c r="B188" s="44"/>
    </row>
    <row r="189" spans="1:2" x14ac:dyDescent="0.2">
      <c r="A189" s="31"/>
      <c r="B189" s="44"/>
    </row>
    <row r="190" spans="1:2" x14ac:dyDescent="0.2">
      <c r="A190" s="31"/>
      <c r="B190" s="44"/>
    </row>
    <row r="191" spans="1:2" x14ac:dyDescent="0.2">
      <c r="A191" s="31"/>
      <c r="B191" s="44"/>
    </row>
    <row r="192" spans="1:2" x14ac:dyDescent="0.2">
      <c r="A192" s="31"/>
      <c r="B192" s="44"/>
    </row>
    <row r="193" spans="1:2" x14ac:dyDescent="0.2">
      <c r="A193" s="31"/>
      <c r="B193" s="44"/>
    </row>
    <row r="194" spans="1:2" x14ac:dyDescent="0.2">
      <c r="A194" s="31"/>
      <c r="B194" s="44"/>
    </row>
    <row r="195" spans="1:2" x14ac:dyDescent="0.2">
      <c r="A195" s="31"/>
      <c r="B195" s="44"/>
    </row>
    <row r="196" spans="1:2" x14ac:dyDescent="0.2">
      <c r="A196" s="31"/>
      <c r="B196" s="44"/>
    </row>
    <row r="197" spans="1:2" x14ac:dyDescent="0.2">
      <c r="A197" s="31"/>
      <c r="B197" s="44"/>
    </row>
    <row r="198" spans="1:2" x14ac:dyDescent="0.2">
      <c r="A198" s="31"/>
      <c r="B198" s="44"/>
    </row>
    <row r="199" spans="1:2" x14ac:dyDescent="0.2">
      <c r="A199" s="31"/>
      <c r="B199" s="44"/>
    </row>
    <row r="200" spans="1:2" x14ac:dyDescent="0.2">
      <c r="A200" s="31"/>
      <c r="B200" s="44"/>
    </row>
    <row r="201" spans="1:2" x14ac:dyDescent="0.2">
      <c r="A201" s="31"/>
      <c r="B201" s="44"/>
    </row>
    <row r="202" spans="1:2" x14ac:dyDescent="0.2">
      <c r="A202" s="31"/>
      <c r="B202" s="44"/>
    </row>
    <row r="203" spans="1:2" x14ac:dyDescent="0.2">
      <c r="A203" s="31"/>
      <c r="B203" s="44"/>
    </row>
    <row r="204" spans="1:2" x14ac:dyDescent="0.2">
      <c r="A204" s="31"/>
      <c r="B204" s="44"/>
    </row>
    <row r="205" spans="1:2" x14ac:dyDescent="0.2">
      <c r="A205" s="31"/>
      <c r="B205" s="44"/>
    </row>
    <row r="206" spans="1:2" x14ac:dyDescent="0.2">
      <c r="A206" s="31"/>
      <c r="B206" s="44"/>
    </row>
    <row r="207" spans="1:2" x14ac:dyDescent="0.2">
      <c r="A207" s="31"/>
      <c r="B207" s="44"/>
    </row>
    <row r="208" spans="1:2" x14ac:dyDescent="0.2">
      <c r="A208" s="31"/>
      <c r="B208" s="44"/>
    </row>
    <row r="209" spans="1:2" x14ac:dyDescent="0.2">
      <c r="A209" s="31"/>
      <c r="B209" s="44"/>
    </row>
    <row r="210" spans="1:2" x14ac:dyDescent="0.2">
      <c r="A210" s="31"/>
      <c r="B210" s="44"/>
    </row>
    <row r="211" spans="1:2" x14ac:dyDescent="0.2">
      <c r="A211" s="31"/>
      <c r="B211" s="44"/>
    </row>
    <row r="212" spans="1:2" x14ac:dyDescent="0.2">
      <c r="A212" s="31"/>
      <c r="B212" s="44"/>
    </row>
    <row r="213" spans="1:2" x14ac:dyDescent="0.2">
      <c r="A213" s="31"/>
      <c r="B213" s="44"/>
    </row>
    <row r="214" spans="1:2" x14ac:dyDescent="0.2">
      <c r="A214" s="31"/>
      <c r="B214" s="44"/>
    </row>
    <row r="215" spans="1:2" x14ac:dyDescent="0.2">
      <c r="A215" s="31"/>
      <c r="B215" s="44"/>
    </row>
    <row r="216" spans="1:2" x14ac:dyDescent="0.2">
      <c r="A216" s="31"/>
      <c r="B216" s="44"/>
    </row>
    <row r="217" spans="1:2" x14ac:dyDescent="0.2">
      <c r="A217" s="31"/>
      <c r="B217" s="44"/>
    </row>
    <row r="218" spans="1:2" x14ac:dyDescent="0.2">
      <c r="A218" s="31"/>
      <c r="B218" s="44"/>
    </row>
    <row r="219" spans="1:2" x14ac:dyDescent="0.2">
      <c r="A219" s="31"/>
      <c r="B219" s="44"/>
    </row>
    <row r="220" spans="1:2" x14ac:dyDescent="0.2">
      <c r="A220" s="31"/>
      <c r="B220" s="44"/>
    </row>
    <row r="221" spans="1:2" x14ac:dyDescent="0.2">
      <c r="A221" s="31"/>
      <c r="B221" s="44"/>
    </row>
    <row r="222" spans="1:2" x14ac:dyDescent="0.2">
      <c r="A222" s="31"/>
      <c r="B222" s="44"/>
    </row>
    <row r="223" spans="1:2" x14ac:dyDescent="0.2">
      <c r="A223" s="31"/>
      <c r="B223" s="44"/>
    </row>
    <row r="224" spans="1:2" x14ac:dyDescent="0.2">
      <c r="A224" s="31"/>
      <c r="B224" s="44"/>
    </row>
    <row r="225" spans="1:2" x14ac:dyDescent="0.2">
      <c r="A225" s="31"/>
      <c r="B225" s="44"/>
    </row>
    <row r="226" spans="1:2" x14ac:dyDescent="0.2">
      <c r="A226" s="31"/>
      <c r="B226" s="44"/>
    </row>
    <row r="227" spans="1:2" x14ac:dyDescent="0.2">
      <c r="A227" s="31"/>
      <c r="B227" s="44"/>
    </row>
    <row r="228" spans="1:2" x14ac:dyDescent="0.2">
      <c r="A228" s="31"/>
      <c r="B228" s="44"/>
    </row>
    <row r="229" spans="1:2" x14ac:dyDescent="0.2">
      <c r="A229" s="31"/>
      <c r="B229" s="44"/>
    </row>
    <row r="230" spans="1:2" x14ac:dyDescent="0.2">
      <c r="A230" s="31"/>
      <c r="B230" s="44"/>
    </row>
    <row r="231" spans="1:2" x14ac:dyDescent="0.2">
      <c r="A231" s="31"/>
      <c r="B231" s="44"/>
    </row>
    <row r="232" spans="1:2" x14ac:dyDescent="0.2">
      <c r="A232" s="31"/>
      <c r="B232" s="44"/>
    </row>
    <row r="233" spans="1:2" x14ac:dyDescent="0.2">
      <c r="A233" s="31"/>
      <c r="B233" s="44"/>
    </row>
    <row r="234" spans="1:2" x14ac:dyDescent="0.2">
      <c r="A234" s="31"/>
      <c r="B234" s="44"/>
    </row>
    <row r="235" spans="1:2" x14ac:dyDescent="0.2">
      <c r="A235" s="31"/>
      <c r="B235" s="44"/>
    </row>
    <row r="236" spans="1:2" x14ac:dyDescent="0.2">
      <c r="A236" s="31"/>
      <c r="B236" s="44"/>
    </row>
    <row r="237" spans="1:2" x14ac:dyDescent="0.2">
      <c r="A237" s="31"/>
      <c r="B237" s="44"/>
    </row>
    <row r="238" spans="1:2" x14ac:dyDescent="0.2">
      <c r="A238" s="31"/>
      <c r="B238" s="44"/>
    </row>
    <row r="239" spans="1:2" x14ac:dyDescent="0.2">
      <c r="A239" s="31"/>
      <c r="B239" s="44"/>
    </row>
    <row r="240" spans="1:2" x14ac:dyDescent="0.2">
      <c r="A240" s="31"/>
      <c r="B240" s="44"/>
    </row>
    <row r="241" spans="1:2" x14ac:dyDescent="0.2">
      <c r="A241" s="31"/>
      <c r="B241" s="44"/>
    </row>
    <row r="242" spans="1:2" x14ac:dyDescent="0.2">
      <c r="A242" s="31"/>
      <c r="B242" s="44"/>
    </row>
    <row r="243" spans="1:2" x14ac:dyDescent="0.2">
      <c r="A243" s="31"/>
      <c r="B243" s="44"/>
    </row>
    <row r="244" spans="1:2" x14ac:dyDescent="0.2">
      <c r="A244" s="31"/>
      <c r="B244" s="44"/>
    </row>
    <row r="245" spans="1:2" x14ac:dyDescent="0.2">
      <c r="A245" s="31"/>
      <c r="B245" s="44"/>
    </row>
    <row r="246" spans="1:2" x14ac:dyDescent="0.2">
      <c r="A246" s="31"/>
      <c r="B246" s="44"/>
    </row>
    <row r="247" spans="1:2" x14ac:dyDescent="0.2">
      <c r="A247" s="31"/>
      <c r="B247" s="44"/>
    </row>
    <row r="248" spans="1:2" x14ac:dyDescent="0.2">
      <c r="A248" s="31"/>
      <c r="B248" s="44"/>
    </row>
    <row r="249" spans="1:2" x14ac:dyDescent="0.2">
      <c r="A249" s="31"/>
      <c r="B249" s="44"/>
    </row>
    <row r="250" spans="1:2" x14ac:dyDescent="0.2">
      <c r="A250" s="31"/>
      <c r="B250" s="44"/>
    </row>
    <row r="251" spans="1:2" x14ac:dyDescent="0.2">
      <c r="A251" s="31"/>
      <c r="B251" s="44"/>
    </row>
    <row r="252" spans="1:2" x14ac:dyDescent="0.2">
      <c r="A252" s="31"/>
      <c r="B252" s="44"/>
    </row>
    <row r="253" spans="1:2" x14ac:dyDescent="0.2">
      <c r="A253" s="31"/>
      <c r="B253" s="44"/>
    </row>
    <row r="254" spans="1:2" x14ac:dyDescent="0.2">
      <c r="A254" s="31"/>
      <c r="B254" s="44"/>
    </row>
    <row r="255" spans="1:2" x14ac:dyDescent="0.2">
      <c r="A255" s="31"/>
      <c r="B255" s="44"/>
    </row>
    <row r="256" spans="1:2" x14ac:dyDescent="0.2">
      <c r="A256" s="31"/>
      <c r="B256" s="44"/>
    </row>
    <row r="257" spans="1:2" x14ac:dyDescent="0.2">
      <c r="A257" s="31"/>
      <c r="B257" s="44"/>
    </row>
    <row r="258" spans="1:2" x14ac:dyDescent="0.2">
      <c r="A258" s="31"/>
      <c r="B258" s="44"/>
    </row>
    <row r="259" spans="1:2" x14ac:dyDescent="0.2">
      <c r="A259" s="31"/>
      <c r="B259" s="44"/>
    </row>
    <row r="260" spans="1:2" x14ac:dyDescent="0.2">
      <c r="A260" s="31"/>
      <c r="B260" s="44"/>
    </row>
    <row r="261" spans="1:2" x14ac:dyDescent="0.2">
      <c r="A261" s="31"/>
      <c r="B261" s="44"/>
    </row>
    <row r="262" spans="1:2" x14ac:dyDescent="0.2">
      <c r="A262" s="31"/>
      <c r="B262" s="44"/>
    </row>
    <row r="263" spans="1:2" x14ac:dyDescent="0.2">
      <c r="A263" s="31"/>
      <c r="B263" s="44"/>
    </row>
    <row r="264" spans="1:2" x14ac:dyDescent="0.2">
      <c r="A264" s="31"/>
      <c r="B264" s="44"/>
    </row>
    <row r="265" spans="1:2" x14ac:dyDescent="0.2">
      <c r="A265" s="31"/>
      <c r="B265" s="44"/>
    </row>
    <row r="266" spans="1:2" x14ac:dyDescent="0.2">
      <c r="A266" s="31"/>
      <c r="B266" s="44"/>
    </row>
    <row r="267" spans="1:2" x14ac:dyDescent="0.2">
      <c r="A267" s="31"/>
      <c r="B267" s="44"/>
    </row>
    <row r="268" spans="1:2" x14ac:dyDescent="0.2">
      <c r="A268" s="31"/>
      <c r="B268" s="44"/>
    </row>
    <row r="269" spans="1:2" x14ac:dyDescent="0.2">
      <c r="A269" s="31"/>
      <c r="B269" s="44"/>
    </row>
    <row r="270" spans="1:2" x14ac:dyDescent="0.2">
      <c r="A270" s="31"/>
      <c r="B270" s="44"/>
    </row>
    <row r="271" spans="1:2" x14ac:dyDescent="0.2">
      <c r="A271" s="31"/>
      <c r="B271" s="44"/>
    </row>
    <row r="272" spans="1:2" x14ac:dyDescent="0.2">
      <c r="A272" s="31"/>
      <c r="B272" s="44"/>
    </row>
    <row r="273" spans="1:2" x14ac:dyDescent="0.2">
      <c r="A273" s="31"/>
      <c r="B273" s="44"/>
    </row>
    <row r="274" spans="1:2" x14ac:dyDescent="0.2">
      <c r="A274" s="31"/>
      <c r="B274" s="44"/>
    </row>
    <row r="275" spans="1:2" x14ac:dyDescent="0.2">
      <c r="A275" s="31"/>
      <c r="B275" s="44"/>
    </row>
    <row r="276" spans="1:2" x14ac:dyDescent="0.2">
      <c r="A276" s="31"/>
      <c r="B276" s="44"/>
    </row>
    <row r="277" spans="1:2" x14ac:dyDescent="0.2">
      <c r="A277" s="31"/>
      <c r="B277" s="44"/>
    </row>
    <row r="278" spans="1:2" x14ac:dyDescent="0.2">
      <c r="A278" s="31"/>
      <c r="B278" s="44"/>
    </row>
    <row r="279" spans="1:2" x14ac:dyDescent="0.2">
      <c r="A279" s="31"/>
      <c r="B279" s="44"/>
    </row>
    <row r="280" spans="1:2" x14ac:dyDescent="0.2">
      <c r="A280" s="31"/>
      <c r="B280" s="44"/>
    </row>
    <row r="281" spans="1:2" x14ac:dyDescent="0.2">
      <c r="A281" s="31"/>
      <c r="B281" s="44"/>
    </row>
    <row r="282" spans="1:2" x14ac:dyDescent="0.2">
      <c r="A282" s="31"/>
      <c r="B282" s="44"/>
    </row>
    <row r="283" spans="1:2" x14ac:dyDescent="0.2">
      <c r="A283" s="31"/>
      <c r="B283" s="44"/>
    </row>
    <row r="284" spans="1:2" x14ac:dyDescent="0.2">
      <c r="A284" s="31"/>
      <c r="B284" s="44"/>
    </row>
    <row r="285" spans="1:2" x14ac:dyDescent="0.2">
      <c r="A285" s="31"/>
      <c r="B285" s="44"/>
    </row>
    <row r="286" spans="1:2" x14ac:dyDescent="0.2">
      <c r="A286" s="31"/>
      <c r="B286" s="44"/>
    </row>
    <row r="287" spans="1:2" x14ac:dyDescent="0.2">
      <c r="A287" s="31"/>
      <c r="B287" s="44"/>
    </row>
    <row r="288" spans="1:2" x14ac:dyDescent="0.2">
      <c r="A288" s="31"/>
      <c r="B288" s="44"/>
    </row>
    <row r="289" spans="1:2" x14ac:dyDescent="0.2">
      <c r="A289" s="31"/>
      <c r="B289" s="44"/>
    </row>
    <row r="290" spans="1:2" x14ac:dyDescent="0.2">
      <c r="A290" s="31"/>
      <c r="B290" s="44"/>
    </row>
    <row r="291" spans="1:2" x14ac:dyDescent="0.2">
      <c r="A291" s="31"/>
      <c r="B291" s="44"/>
    </row>
    <row r="292" spans="1:2" x14ac:dyDescent="0.2">
      <c r="A292" s="31"/>
      <c r="B292" s="44"/>
    </row>
    <row r="293" spans="1:2" x14ac:dyDescent="0.2">
      <c r="A293" s="31"/>
      <c r="B293" s="44"/>
    </row>
    <row r="294" spans="1:2" x14ac:dyDescent="0.2">
      <c r="A294" s="31"/>
      <c r="B294" s="44"/>
    </row>
    <row r="295" spans="1:2" x14ac:dyDescent="0.2">
      <c r="A295" s="31"/>
      <c r="B295" s="44"/>
    </row>
    <row r="296" spans="1:2" x14ac:dyDescent="0.2">
      <c r="A296" s="31"/>
      <c r="B296" s="44"/>
    </row>
    <row r="297" spans="1:2" x14ac:dyDescent="0.2">
      <c r="A297" s="31"/>
      <c r="B297" s="44"/>
    </row>
    <row r="298" spans="1:2" x14ac:dyDescent="0.2">
      <c r="A298" s="31"/>
      <c r="B298" s="44"/>
    </row>
    <row r="299" spans="1:2" x14ac:dyDescent="0.2">
      <c r="A299" s="31"/>
      <c r="B299" s="44"/>
    </row>
    <row r="300" spans="1:2" x14ac:dyDescent="0.2">
      <c r="A300" s="31"/>
      <c r="B300" s="44"/>
    </row>
    <row r="301" spans="1:2" x14ac:dyDescent="0.2">
      <c r="A301" s="31"/>
      <c r="B301" s="44"/>
    </row>
    <row r="302" spans="1:2" x14ac:dyDescent="0.2">
      <c r="A302" s="31"/>
      <c r="B302" s="44"/>
    </row>
    <row r="303" spans="1:2" x14ac:dyDescent="0.2">
      <c r="A303" s="31"/>
      <c r="B303" s="44"/>
    </row>
    <row r="304" spans="1:2" x14ac:dyDescent="0.2">
      <c r="A304" s="31"/>
      <c r="B304" s="44"/>
    </row>
    <row r="305" spans="1:2" x14ac:dyDescent="0.2">
      <c r="A305" s="31"/>
      <c r="B305" s="44"/>
    </row>
    <row r="306" spans="1:2" x14ac:dyDescent="0.2">
      <c r="A306" s="31"/>
      <c r="B306" s="44"/>
    </row>
    <row r="307" spans="1:2" x14ac:dyDescent="0.2">
      <c r="A307" s="31"/>
      <c r="B307" s="44"/>
    </row>
    <row r="308" spans="1:2" x14ac:dyDescent="0.2">
      <c r="A308" s="31"/>
      <c r="B308" s="44"/>
    </row>
    <row r="309" spans="1:2" x14ac:dyDescent="0.2">
      <c r="A309" s="31"/>
      <c r="B309" s="44"/>
    </row>
    <row r="310" spans="1:2" x14ac:dyDescent="0.2">
      <c r="A310" s="31"/>
      <c r="B310" s="44"/>
    </row>
    <row r="311" spans="1:2" x14ac:dyDescent="0.2">
      <c r="A311" s="31"/>
      <c r="B311" s="44"/>
    </row>
    <row r="312" spans="1:2" x14ac:dyDescent="0.2">
      <c r="A312" s="31"/>
      <c r="B312" s="44"/>
    </row>
  </sheetData>
  <mergeCells count="11">
    <mergeCell ref="A124:A135"/>
    <mergeCell ref="A112:A123"/>
    <mergeCell ref="A100:A111"/>
    <mergeCell ref="A88:A99"/>
    <mergeCell ref="A28:A39"/>
    <mergeCell ref="A16:A27"/>
    <mergeCell ref="A4:A15"/>
    <mergeCell ref="A76:A87"/>
    <mergeCell ref="A64:A75"/>
    <mergeCell ref="A52:A63"/>
    <mergeCell ref="A40:A51"/>
  </mergeCells>
  <printOptions horizontalCentered="1"/>
  <pageMargins left="0.5" right="0.5" top="0.75" bottom="0.75" header="0.5" footer="0.5"/>
  <pageSetup orientation="portrait"/>
  <headerFooter alignWithMargins="0">
    <oddFooter>&amp;C&amp;P of &amp;N</oddFooter>
  </headerFooter>
  <rowBreaks count="2" manualBreakCount="2">
    <brk id="51" max="16383" man="1"/>
    <brk id="99" max="16383" man="1"/>
  </rowBreak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902"/>
  <sheetViews>
    <sheetView tabSelected="1" zoomScale="130" zoomScaleNormal="130" workbookViewId="0">
      <pane ySplit="4" topLeftCell="A44" activePane="bottomLeft" state="frozen"/>
      <selection pane="bottomLeft" activeCell="T20" sqref="T20"/>
    </sheetView>
  </sheetViews>
  <sheetFormatPr defaultRowHeight="12.75" x14ac:dyDescent="0.2"/>
  <cols>
    <col min="1" max="1" width="24.28515625" style="74" customWidth="1"/>
    <col min="2" max="2" width="11.140625" style="74" bestFit="1" customWidth="1"/>
    <col min="3" max="6" width="8.7109375" style="74" hidden="1" customWidth="1"/>
    <col min="7" max="8" width="9.140625" style="74" hidden="1" customWidth="1"/>
    <col min="9" max="9" width="7.85546875" style="74" hidden="1" customWidth="1"/>
    <col min="10" max="10" width="9.140625" style="74" customWidth="1"/>
    <col min="11" max="11" width="9.140625" style="74" hidden="1" customWidth="1"/>
    <col min="12" max="12" width="9.5703125" style="74" hidden="1" customWidth="1"/>
    <col min="13" max="13" width="9.140625" style="74" hidden="1" customWidth="1"/>
    <col min="14" max="14" width="8.7109375" style="74" hidden="1" customWidth="1"/>
    <col min="15" max="16" width="9.5703125" style="2" hidden="1" customWidth="1"/>
    <col min="17" max="17" width="9.140625" style="2" customWidth="1"/>
    <col min="18" max="18" width="13.85546875" style="2" customWidth="1"/>
    <col min="19" max="19" width="9.140625" style="2" customWidth="1"/>
  </cols>
  <sheetData>
    <row r="1" spans="1:17" ht="15.75" customHeight="1" x14ac:dyDescent="0.25">
      <c r="A1" s="21" t="s">
        <v>11</v>
      </c>
    </row>
    <row r="2" spans="1:17" x14ac:dyDescent="0.2">
      <c r="A2" s="63" t="s">
        <v>88</v>
      </c>
      <c r="B2" s="63" t="s">
        <v>4</v>
      </c>
      <c r="C2" s="159">
        <f>'Utility Summary'!C3</f>
        <v>42930</v>
      </c>
      <c r="D2" s="159">
        <f>'Utility Summary'!D3</f>
        <v>42961</v>
      </c>
      <c r="E2" s="159">
        <f>'Utility Summary'!E3</f>
        <v>42992</v>
      </c>
      <c r="F2" s="159">
        <f>'Utility Summary'!F3</f>
        <v>43022</v>
      </c>
      <c r="G2" s="159">
        <f>'Utility Summary'!G3</f>
        <v>43053</v>
      </c>
      <c r="H2" s="159">
        <f>'Utility Summary'!H3</f>
        <v>43083</v>
      </c>
      <c r="I2" s="159">
        <f>'Utility Summary'!I3</f>
        <v>43114</v>
      </c>
      <c r="J2" s="159">
        <f>'Utility Summary'!J3</f>
        <v>43145</v>
      </c>
      <c r="K2" s="159">
        <f>'Utility Summary'!K3</f>
        <v>43173</v>
      </c>
      <c r="L2" s="159">
        <f>'Utility Summary'!L3</f>
        <v>43204</v>
      </c>
      <c r="M2" s="159">
        <f>'Utility Summary'!M3</f>
        <v>43234</v>
      </c>
      <c r="N2" s="159">
        <f>'Utility Summary'!N3</f>
        <v>43265</v>
      </c>
      <c r="O2" s="103" t="s">
        <v>1</v>
      </c>
      <c r="P2" s="66" t="s">
        <v>5</v>
      </c>
    </row>
    <row r="3" spans="1:17" x14ac:dyDescent="0.2">
      <c r="B3" s="140" t="s">
        <v>46</v>
      </c>
      <c r="C3" s="175">
        <v>42219</v>
      </c>
      <c r="D3" s="175">
        <f>Electricity!D4</f>
        <v>42980</v>
      </c>
      <c r="E3" s="175">
        <f>Electricity!E4</f>
        <v>43013</v>
      </c>
      <c r="F3" s="175">
        <v>42675</v>
      </c>
      <c r="G3" s="175">
        <v>42705</v>
      </c>
      <c r="H3" s="175">
        <v>42005</v>
      </c>
      <c r="I3" s="175">
        <v>42768</v>
      </c>
      <c r="J3" s="175">
        <v>40969</v>
      </c>
      <c r="K3" s="175">
        <v>42095</v>
      </c>
      <c r="L3" s="175">
        <v>41763</v>
      </c>
      <c r="M3" s="175">
        <v>42156</v>
      </c>
      <c r="N3" s="175">
        <v>41456</v>
      </c>
      <c r="O3" s="104"/>
      <c r="P3" s="97"/>
    </row>
    <row r="4" spans="1:17" s="52" customFormat="1" ht="22.5" customHeight="1" x14ac:dyDescent="0.2">
      <c r="A4" s="49"/>
      <c r="B4" s="67" t="s">
        <v>168</v>
      </c>
      <c r="C4" s="219">
        <v>0.112355</v>
      </c>
      <c r="D4" s="219">
        <v>0.112355</v>
      </c>
      <c r="E4" s="219">
        <v>0.112355</v>
      </c>
      <c r="F4" s="219">
        <v>0.112355</v>
      </c>
      <c r="G4" s="219">
        <v>0.112355</v>
      </c>
      <c r="H4" s="219">
        <v>0.112355</v>
      </c>
      <c r="I4" s="219">
        <v>0.112355</v>
      </c>
      <c r="J4" s="219">
        <v>0.112355</v>
      </c>
      <c r="K4" s="219">
        <v>0.112355</v>
      </c>
      <c r="L4" s="219">
        <v>0.112355</v>
      </c>
      <c r="M4" s="219">
        <v>0.112355</v>
      </c>
      <c r="N4" s="219">
        <v>0.112355</v>
      </c>
      <c r="O4" s="105"/>
      <c r="P4" s="67"/>
    </row>
    <row r="5" spans="1:17" x14ac:dyDescent="0.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106"/>
    </row>
    <row r="6" spans="1:17" x14ac:dyDescent="0.2">
      <c r="A6" s="74" t="s">
        <v>90</v>
      </c>
      <c r="B6" s="74" t="s">
        <v>169</v>
      </c>
      <c r="C6" s="50">
        <f>12573.12/(2976/2976)</f>
        <v>12573.12</v>
      </c>
      <c r="D6" s="50">
        <f>12677.805/(2976/2976)</f>
        <v>12677.805</v>
      </c>
      <c r="E6" s="50">
        <f>8846.974/(2880/2880)</f>
        <v>8846.9740000000002</v>
      </c>
      <c r="F6" s="50">
        <f>3745.587/(2970/2976)</f>
        <v>3753.1538424242426</v>
      </c>
      <c r="G6" s="50">
        <f>134.3979/(207/2880)</f>
        <v>1869.8838260869566</v>
      </c>
      <c r="H6" s="50">
        <f>514.0362/(612.3987/2976)</f>
        <v>2497.9996384708197</v>
      </c>
      <c r="I6" s="50">
        <f>AVERAGE(830,196)</f>
        <v>513</v>
      </c>
      <c r="J6" s="50">
        <f>2903.63395153275/(2688/2688)</f>
        <v>2903.63395153275</v>
      </c>
      <c r="K6" s="50">
        <f>1193.5877/(2248/2976)</f>
        <v>1580.1232185053382</v>
      </c>
      <c r="L6" s="50">
        <f>1715.85/(2838/2880)</f>
        <v>1741.243128964059</v>
      </c>
      <c r="M6" s="50">
        <f>4464.6/(2808/2976)</f>
        <v>4731.7128205128211</v>
      </c>
      <c r="N6" s="50">
        <f>7275.271/(2237/2880)</f>
        <v>9366.4642288779614</v>
      </c>
      <c r="O6" s="107">
        <f>SUM(C6:N6)</f>
        <v>63055.113655374953</v>
      </c>
      <c r="Q6" s="50"/>
    </row>
    <row r="7" spans="1:17" x14ac:dyDescent="0.2">
      <c r="A7" s="74" t="s">
        <v>92</v>
      </c>
      <c r="B7" s="74" t="s">
        <v>50</v>
      </c>
      <c r="C7" s="153">
        <f t="shared" ref="C7:N7" si="0">ROUND(C6*C$4,2)</f>
        <v>1412.65</v>
      </c>
      <c r="D7" s="153">
        <f t="shared" si="0"/>
        <v>1424.41</v>
      </c>
      <c r="E7" s="153">
        <f t="shared" si="0"/>
        <v>994</v>
      </c>
      <c r="F7" s="153">
        <f t="shared" si="0"/>
        <v>421.69</v>
      </c>
      <c r="G7" s="153">
        <f t="shared" si="0"/>
        <v>210.09</v>
      </c>
      <c r="H7" s="153">
        <f t="shared" si="0"/>
        <v>280.66000000000003</v>
      </c>
      <c r="I7" s="153">
        <f t="shared" si="0"/>
        <v>57.64</v>
      </c>
      <c r="J7" s="153">
        <f t="shared" si="0"/>
        <v>326.24</v>
      </c>
      <c r="K7" s="153">
        <f t="shared" si="0"/>
        <v>177.53</v>
      </c>
      <c r="L7" s="153">
        <f t="shared" si="0"/>
        <v>195.64</v>
      </c>
      <c r="M7" s="153">
        <f t="shared" si="0"/>
        <v>531.63</v>
      </c>
      <c r="N7" s="153">
        <f t="shared" si="0"/>
        <v>1052.3699999999999</v>
      </c>
      <c r="O7" s="184">
        <f>SUM(C7:N7)</f>
        <v>7084.55</v>
      </c>
      <c r="Q7" s="50"/>
    </row>
    <row r="8" spans="1:17" x14ac:dyDescent="0.2">
      <c r="O8" s="104"/>
      <c r="Q8" s="50"/>
    </row>
    <row r="9" spans="1:17" ht="15" customHeight="1" x14ac:dyDescent="0.25">
      <c r="A9" s="140" t="s">
        <v>12</v>
      </c>
      <c r="B9" s="74" t="s">
        <v>169</v>
      </c>
      <c r="C9" s="50">
        <f>7371.48/(2255/2976)</f>
        <v>9728.3922305986689</v>
      </c>
      <c r="D9" s="50">
        <f>9845.01/(2974/2976)</f>
        <v>9851.6307195696045</v>
      </c>
      <c r="E9" s="50">
        <f>5461.8756/(2879/2880)</f>
        <v>5463.7727433136515</v>
      </c>
      <c r="F9" s="50">
        <f>2746.013/(2964/2976)</f>
        <v>2757.1304615384615</v>
      </c>
      <c r="G9" s="50">
        <f>4095.724/(2875/2880)</f>
        <v>4102.8469982608704</v>
      </c>
      <c r="H9" s="50">
        <f>2343.028/(2706/2976)</f>
        <v>2576.8112815964519</v>
      </c>
      <c r="I9" s="50">
        <f>AVERAGE(390,1460)</f>
        <v>925</v>
      </c>
      <c r="J9" s="50">
        <f>6415.6882258669/(2688/2688)</f>
        <v>6415.6882258669002</v>
      </c>
      <c r="K9" s="50">
        <f>3229.59/(2241/2976)</f>
        <v>4288.8263453815262</v>
      </c>
      <c r="L9" s="50">
        <f>1002.12/(2576/2880)</f>
        <v>1120.3826086956522</v>
      </c>
      <c r="M9" s="50">
        <f>4239.23/(2792/2976)</f>
        <v>4518.606189111747</v>
      </c>
      <c r="N9" s="134">
        <f>932.247/(543/2880)</f>
        <v>4944.5144751381213</v>
      </c>
      <c r="O9" s="107">
        <f>SUM(C9:N9)</f>
        <v>56693.602279071652</v>
      </c>
      <c r="Q9" s="50"/>
    </row>
    <row r="10" spans="1:17" x14ac:dyDescent="0.2">
      <c r="A10" s="64" t="s">
        <v>170</v>
      </c>
      <c r="B10" s="74" t="s">
        <v>50</v>
      </c>
      <c r="C10" s="153">
        <f t="shared" ref="C10:N10" si="1">ROUND(C9*C$4,2)</f>
        <v>1093.03</v>
      </c>
      <c r="D10" s="153">
        <f t="shared" si="1"/>
        <v>1106.8800000000001</v>
      </c>
      <c r="E10" s="153">
        <f t="shared" si="1"/>
        <v>613.88</v>
      </c>
      <c r="F10" s="153">
        <f t="shared" si="1"/>
        <v>309.77999999999997</v>
      </c>
      <c r="G10" s="153">
        <f t="shared" si="1"/>
        <v>460.98</v>
      </c>
      <c r="H10" s="153">
        <f t="shared" si="1"/>
        <v>289.52</v>
      </c>
      <c r="I10" s="153">
        <f t="shared" si="1"/>
        <v>103.93</v>
      </c>
      <c r="J10" s="153">
        <f t="shared" si="1"/>
        <v>720.83</v>
      </c>
      <c r="K10" s="153">
        <f t="shared" si="1"/>
        <v>481.87</v>
      </c>
      <c r="L10" s="153">
        <f t="shared" si="1"/>
        <v>125.88</v>
      </c>
      <c r="M10" s="153">
        <f t="shared" si="1"/>
        <v>507.69</v>
      </c>
      <c r="N10" s="153">
        <f t="shared" si="1"/>
        <v>555.54</v>
      </c>
      <c r="O10" s="184">
        <f>SUM(C10:N10)</f>
        <v>6369.8099999999995</v>
      </c>
      <c r="Q10" s="50"/>
    </row>
    <row r="11" spans="1:17" x14ac:dyDescent="0.2"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84"/>
      <c r="Q11" s="50"/>
    </row>
    <row r="12" spans="1:17" x14ac:dyDescent="0.2">
      <c r="A12" s="140" t="s">
        <v>13</v>
      </c>
      <c r="B12" s="74" t="s">
        <v>169</v>
      </c>
      <c r="C12" s="50">
        <f>2162.3/(2974/2976)</f>
        <v>2163.7541358439817</v>
      </c>
      <c r="D12" s="50">
        <f>5258.81/(2973/2976)</f>
        <v>5264.1165691220995</v>
      </c>
      <c r="E12" s="50">
        <f>2077.59/(2096/2880)</f>
        <v>2854.7038167938936</v>
      </c>
      <c r="F12" s="50">
        <f>5666.251/(2969/2976)</f>
        <v>5679.6102984169756</v>
      </c>
      <c r="G12" s="50">
        <f>1572.886/(2874/2880)</f>
        <v>1576.1696868475992</v>
      </c>
      <c r="H12" s="50">
        <f>443.692/(2706/2976)</f>
        <v>487.96282039911307</v>
      </c>
      <c r="I12" s="50">
        <f>AVERAGE(334,1201)</f>
        <v>767.5</v>
      </c>
      <c r="J12" s="50">
        <f>1008.80625127452/(2687/2688)</f>
        <v>1009.1816908916672</v>
      </c>
      <c r="K12" s="50">
        <f>1644.02/(2235/2976)</f>
        <v>2189.0843489932886</v>
      </c>
      <c r="L12" s="50">
        <f>1395.1/(2665/2880)</f>
        <v>1507.6502814258911</v>
      </c>
      <c r="M12" s="50">
        <f>1845.94/(2791/2976)</f>
        <v>1968.2971838050878</v>
      </c>
      <c r="N12" s="50">
        <f>312.1/(417/2880)</f>
        <v>2155.5107913669062</v>
      </c>
      <c r="O12" s="107">
        <f>SUM(C12:N12)</f>
        <v>27623.541623906502</v>
      </c>
      <c r="Q12" s="50"/>
    </row>
    <row r="13" spans="1:17" x14ac:dyDescent="0.2">
      <c r="A13" s="64" t="s">
        <v>171</v>
      </c>
      <c r="B13" s="74" t="s">
        <v>50</v>
      </c>
      <c r="C13" s="153">
        <f t="shared" ref="C13:N13" si="2">ROUND(C12*C$4,2)</f>
        <v>243.11</v>
      </c>
      <c r="D13" s="153">
        <f t="shared" si="2"/>
        <v>591.45000000000005</v>
      </c>
      <c r="E13" s="153">
        <f t="shared" si="2"/>
        <v>320.74</v>
      </c>
      <c r="F13" s="153">
        <f t="shared" si="2"/>
        <v>638.13</v>
      </c>
      <c r="G13" s="153">
        <f t="shared" si="2"/>
        <v>177.09</v>
      </c>
      <c r="H13" s="153">
        <f t="shared" si="2"/>
        <v>54.83</v>
      </c>
      <c r="I13" s="153">
        <f t="shared" si="2"/>
        <v>86.23</v>
      </c>
      <c r="J13" s="153">
        <f t="shared" si="2"/>
        <v>113.39</v>
      </c>
      <c r="K13" s="153">
        <f t="shared" si="2"/>
        <v>245.95</v>
      </c>
      <c r="L13" s="153">
        <f t="shared" si="2"/>
        <v>169.39</v>
      </c>
      <c r="M13" s="153">
        <f t="shared" si="2"/>
        <v>221.15</v>
      </c>
      <c r="N13" s="153">
        <f t="shared" si="2"/>
        <v>242.18</v>
      </c>
      <c r="O13" s="184">
        <f>SUM(C13:N13)</f>
        <v>3103.6399999999994</v>
      </c>
      <c r="Q13" s="50"/>
    </row>
    <row r="14" spans="1:17" x14ac:dyDescent="0.2">
      <c r="O14" s="104"/>
      <c r="Q14" s="50"/>
    </row>
    <row r="15" spans="1:17" x14ac:dyDescent="0.2">
      <c r="A15" s="74" t="s">
        <v>14</v>
      </c>
      <c r="B15" s="74" t="s">
        <v>169</v>
      </c>
      <c r="C15" s="50">
        <f>3279.7/(2975/2976)</f>
        <v>3280.8024201680673</v>
      </c>
      <c r="D15" s="50">
        <f>588.43/(2931/2976)</f>
        <v>597.46423746161713</v>
      </c>
      <c r="E15" s="50">
        <f>1483.59/(2271/2880)</f>
        <v>1881.435138705416</v>
      </c>
      <c r="F15" s="50">
        <f>3551.82/(2969/2976)</f>
        <v>3560.1941124957898</v>
      </c>
      <c r="G15" s="50">
        <f>3192.547/(2876/2880)</f>
        <v>3196.9872600834492</v>
      </c>
      <c r="H15" s="124">
        <f>1881.63/(2706/2976)</f>
        <v>2069.3757871396897</v>
      </c>
      <c r="I15" s="50">
        <f>AVERAGE(274,770)</f>
        <v>522</v>
      </c>
      <c r="J15" s="50">
        <f>2549.25749477122/(2366/2688)</f>
        <v>2896.197863882096</v>
      </c>
      <c r="K15" s="50">
        <f>2040.9838/(2211/2976)</f>
        <v>2747.1586561736772</v>
      </c>
      <c r="L15" s="50">
        <f>686.63/(2675/2880)</f>
        <v>739.25024299065421</v>
      </c>
      <c r="M15" s="50">
        <f>1713.65/(2792/2976)</f>
        <v>1826.5839541547277</v>
      </c>
      <c r="N15" s="50">
        <f>1981.3/(2213/2880)</f>
        <v>2578.4654315408948</v>
      </c>
      <c r="O15" s="107">
        <f>SUM(C15:N15)</f>
        <v>25895.915104796077</v>
      </c>
      <c r="Q15" s="50"/>
    </row>
    <row r="16" spans="1:17" x14ac:dyDescent="0.2">
      <c r="A16" s="64" t="s">
        <v>172</v>
      </c>
      <c r="B16" s="74" t="s">
        <v>50</v>
      </c>
      <c r="C16" s="153">
        <f t="shared" ref="C16:N16" si="3">ROUND(C15*C$4,2)</f>
        <v>368.61</v>
      </c>
      <c r="D16" s="153">
        <f t="shared" si="3"/>
        <v>67.13</v>
      </c>
      <c r="E16" s="153">
        <f t="shared" si="3"/>
        <v>211.39</v>
      </c>
      <c r="F16" s="153">
        <f t="shared" si="3"/>
        <v>400.01</v>
      </c>
      <c r="G16" s="153">
        <f t="shared" si="3"/>
        <v>359.2</v>
      </c>
      <c r="H16" s="153">
        <f t="shared" si="3"/>
        <v>232.5</v>
      </c>
      <c r="I16" s="153">
        <f t="shared" si="3"/>
        <v>58.65</v>
      </c>
      <c r="J16" s="153">
        <f t="shared" si="3"/>
        <v>325.39999999999998</v>
      </c>
      <c r="K16" s="153">
        <f t="shared" si="3"/>
        <v>308.66000000000003</v>
      </c>
      <c r="L16" s="153">
        <f t="shared" si="3"/>
        <v>83.06</v>
      </c>
      <c r="M16" s="153">
        <f t="shared" si="3"/>
        <v>205.23</v>
      </c>
      <c r="N16" s="153">
        <f t="shared" si="3"/>
        <v>289.7</v>
      </c>
      <c r="O16" s="184">
        <f>SUM(C16:N16)</f>
        <v>2909.5399999999995</v>
      </c>
      <c r="Q16" s="50"/>
    </row>
    <row r="17" spans="1:17" x14ac:dyDescent="0.2"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84"/>
      <c r="Q17" s="50"/>
    </row>
    <row r="18" spans="1:17" x14ac:dyDescent="0.2">
      <c r="A18" s="74" t="s">
        <v>15</v>
      </c>
      <c r="B18" s="74" t="s">
        <v>169</v>
      </c>
      <c r="C18" s="50">
        <f>4285.22/(2974/2976)</f>
        <v>4288.1017888365841</v>
      </c>
      <c r="D18" s="50">
        <f>5689.83/(2975/2976)</f>
        <v>5691.7425478991599</v>
      </c>
      <c r="E18" s="50">
        <f>5361.76/(2879/2880)</f>
        <v>5363.6223688780829</v>
      </c>
      <c r="F18" s="50">
        <f>2746.013/(2964/2976)</f>
        <v>2757.1304615384615</v>
      </c>
      <c r="G18" s="50">
        <f>1636.415/(2876/2880)</f>
        <v>1638.6909596662031</v>
      </c>
      <c r="H18" s="50">
        <f>1359.769/(2706/2976)</f>
        <v>1495.444399113082</v>
      </c>
      <c r="I18" s="50">
        <f>AVERAGE(235,729)</f>
        <v>482</v>
      </c>
      <c r="J18" s="50">
        <f>1121.23530509953/(2688/2688)</f>
        <v>1121.23530509953</v>
      </c>
      <c r="K18" s="50">
        <f>1435.763/(2237/2976)</f>
        <v>1910.0718319177467</v>
      </c>
      <c r="L18" s="50">
        <f>875.44/(2522/2880)</f>
        <v>999.70943695479787</v>
      </c>
      <c r="M18" s="50">
        <f>2087.85/(2791/2976)</f>
        <v>2226.2420637764239</v>
      </c>
      <c r="N18" s="50">
        <f>3532.8/(2214/2880)</f>
        <v>4595.5121951219508</v>
      </c>
      <c r="O18" s="107">
        <f>SUM(C18:N18)</f>
        <v>32569.503358802023</v>
      </c>
      <c r="Q18" s="50"/>
    </row>
    <row r="19" spans="1:17" x14ac:dyDescent="0.2">
      <c r="A19" s="64" t="s">
        <v>173</v>
      </c>
      <c r="B19" s="74" t="s">
        <v>50</v>
      </c>
      <c r="C19" s="153">
        <f t="shared" ref="C19:N19" si="4">ROUND(C18*C$4,2)</f>
        <v>481.79</v>
      </c>
      <c r="D19" s="153">
        <f t="shared" si="4"/>
        <v>639.5</v>
      </c>
      <c r="E19" s="153">
        <f t="shared" si="4"/>
        <v>602.63</v>
      </c>
      <c r="F19" s="153">
        <f t="shared" si="4"/>
        <v>309.77999999999997</v>
      </c>
      <c r="G19" s="153">
        <f t="shared" si="4"/>
        <v>184.12</v>
      </c>
      <c r="H19" s="153">
        <f t="shared" si="4"/>
        <v>168.02</v>
      </c>
      <c r="I19" s="153">
        <f t="shared" si="4"/>
        <v>54.16</v>
      </c>
      <c r="J19" s="153">
        <f t="shared" si="4"/>
        <v>125.98</v>
      </c>
      <c r="K19" s="153">
        <f t="shared" si="4"/>
        <v>214.61</v>
      </c>
      <c r="L19" s="153">
        <f t="shared" si="4"/>
        <v>112.32</v>
      </c>
      <c r="M19" s="153">
        <f t="shared" si="4"/>
        <v>250.13</v>
      </c>
      <c r="N19" s="153">
        <f t="shared" si="4"/>
        <v>516.33000000000004</v>
      </c>
      <c r="O19" s="184">
        <f>SUM(C19:N19)</f>
        <v>3659.3700000000003</v>
      </c>
      <c r="Q19" s="50"/>
    </row>
    <row r="20" spans="1:17" x14ac:dyDescent="0.2"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84"/>
      <c r="Q20" s="50"/>
    </row>
    <row r="21" spans="1:17" x14ac:dyDescent="0.2">
      <c r="A21" s="74" t="s">
        <v>17</v>
      </c>
      <c r="B21" s="74" t="s">
        <v>169</v>
      </c>
      <c r="C21" s="50">
        <f>1620/(2972/2976)</f>
        <v>1622.1803499327052</v>
      </c>
      <c r="D21" s="50">
        <f>2531.25/(2974/2976)</f>
        <v>2532.9522528581037</v>
      </c>
      <c r="E21" s="50">
        <f>3083.219*(2880/2880)</f>
        <v>3083.2190000000001</v>
      </c>
      <c r="F21" s="50">
        <f>1741.952/(2970/2976)</f>
        <v>1745.471094949495</v>
      </c>
      <c r="G21" s="50">
        <f>1012.439/(2875/2880)</f>
        <v>1014.1997634782609</v>
      </c>
      <c r="H21" s="50">
        <f>546.655/(2706/2976)</f>
        <v>601.19929046563186</v>
      </c>
      <c r="I21" s="50">
        <f>AVERAGE(256,270)</f>
        <v>263</v>
      </c>
      <c r="J21" s="50">
        <f>917.822486460604/(2688/2688)</f>
        <v>917.82248646060395</v>
      </c>
      <c r="K21" s="50">
        <f>673.77/(2235/2976)</f>
        <v>897.15414765100672</v>
      </c>
      <c r="L21" s="50">
        <f>699.24/(2577/2880)</f>
        <v>781.45564610011638</v>
      </c>
      <c r="M21" s="50">
        <f>1378.46/(2789/2976)</f>
        <v>1470.8845320903552</v>
      </c>
      <c r="N21" s="50">
        <f>1044.5/(2215/2880)</f>
        <v>1358.0857787810385</v>
      </c>
      <c r="O21" s="107">
        <f>SUM(C21:N21)</f>
        <v>16287.624342767316</v>
      </c>
      <c r="Q21" s="50"/>
    </row>
    <row r="22" spans="1:17" x14ac:dyDescent="0.2">
      <c r="A22" s="64" t="s">
        <v>174</v>
      </c>
      <c r="B22" s="74" t="s">
        <v>50</v>
      </c>
      <c r="C22" s="153">
        <f t="shared" ref="C22:N22" si="5">ROUND(C21*C$4,2)</f>
        <v>182.26</v>
      </c>
      <c r="D22" s="153">
        <f t="shared" si="5"/>
        <v>284.58999999999997</v>
      </c>
      <c r="E22" s="153">
        <f t="shared" si="5"/>
        <v>346.42</v>
      </c>
      <c r="F22" s="153">
        <f t="shared" si="5"/>
        <v>196.11</v>
      </c>
      <c r="G22" s="153">
        <f t="shared" si="5"/>
        <v>113.95</v>
      </c>
      <c r="H22" s="153">
        <f t="shared" si="5"/>
        <v>67.55</v>
      </c>
      <c r="I22" s="153">
        <f t="shared" si="5"/>
        <v>29.55</v>
      </c>
      <c r="J22" s="153">
        <f t="shared" si="5"/>
        <v>103.12</v>
      </c>
      <c r="K22" s="153">
        <f t="shared" si="5"/>
        <v>100.8</v>
      </c>
      <c r="L22" s="153">
        <f t="shared" si="5"/>
        <v>87.8</v>
      </c>
      <c r="M22" s="153">
        <f t="shared" si="5"/>
        <v>165.26</v>
      </c>
      <c r="N22" s="153">
        <f t="shared" si="5"/>
        <v>152.59</v>
      </c>
      <c r="O22" s="184">
        <f>SUM(C22:N22)</f>
        <v>1829.9999999999995</v>
      </c>
      <c r="Q22" s="50"/>
    </row>
    <row r="23" spans="1:17" x14ac:dyDescent="0.2"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84"/>
      <c r="Q23" s="50"/>
    </row>
    <row r="24" spans="1:17" x14ac:dyDescent="0.2">
      <c r="A24" s="74" t="s">
        <v>94</v>
      </c>
      <c r="B24" s="74" t="s">
        <v>169</v>
      </c>
      <c r="C24" s="50">
        <f>19442.64/(2256/2976)</f>
        <v>25647.737872340425</v>
      </c>
      <c r="D24" s="50">
        <f>26366.95/(2967/2976)</f>
        <v>26446.930637007081</v>
      </c>
      <c r="E24" s="50">
        <f>23604.691/(2879/2880)</f>
        <v>23612.889920111149</v>
      </c>
      <c r="F24" s="50">
        <f>19661.828/(2963/2976)</f>
        <v>19748.093192035103</v>
      </c>
      <c r="G24" s="50">
        <f>9061.449/(1400/2880)</f>
        <v>18640.695085714287</v>
      </c>
      <c r="H24" s="50">
        <f>1109.034/(2656/2976)</f>
        <v>1242.6525542168677</v>
      </c>
      <c r="I24" s="50">
        <f>AVERAGE(849, 5440)</f>
        <v>3144.5</v>
      </c>
      <c r="J24" s="50">
        <f>592.182820609335/(2688/2688)</f>
        <v>592.18282060933495</v>
      </c>
      <c r="K24" s="50">
        <f>804.884/(2236/2976)</f>
        <v>1071.258847942755</v>
      </c>
      <c r="L24" s="50">
        <f>5575.88/(2639/2880)</f>
        <v>6085.0831375521029</v>
      </c>
      <c r="M24" s="50">
        <f>8748.505/(2789/2976)</f>
        <v>9335.0845751165289</v>
      </c>
      <c r="N24" s="50">
        <f>1777.8/(457/2880)</f>
        <v>11203.64113785558</v>
      </c>
      <c r="O24" s="107">
        <f>SUM(C24:N24)</f>
        <v>146770.74978050124</v>
      </c>
      <c r="Q24" s="50"/>
    </row>
    <row r="25" spans="1:17" x14ac:dyDescent="0.2">
      <c r="A25" s="64" t="s">
        <v>175</v>
      </c>
      <c r="B25" s="74" t="s">
        <v>50</v>
      </c>
      <c r="C25" s="153">
        <f t="shared" ref="C25:N25" si="6">ROUND(C24*C$4,2)</f>
        <v>2881.65</v>
      </c>
      <c r="D25" s="153">
        <f t="shared" si="6"/>
        <v>2971.44</v>
      </c>
      <c r="E25" s="153">
        <f t="shared" si="6"/>
        <v>2653.03</v>
      </c>
      <c r="F25" s="153">
        <f t="shared" si="6"/>
        <v>2218.8000000000002</v>
      </c>
      <c r="G25" s="153">
        <f t="shared" si="6"/>
        <v>2094.38</v>
      </c>
      <c r="H25" s="153">
        <f t="shared" si="6"/>
        <v>139.62</v>
      </c>
      <c r="I25" s="153">
        <f t="shared" si="6"/>
        <v>353.3</v>
      </c>
      <c r="J25" s="153">
        <f t="shared" si="6"/>
        <v>66.53</v>
      </c>
      <c r="K25" s="153">
        <f t="shared" si="6"/>
        <v>120.36</v>
      </c>
      <c r="L25" s="153">
        <f t="shared" si="6"/>
        <v>683.69</v>
      </c>
      <c r="M25" s="153">
        <f t="shared" si="6"/>
        <v>1048.8399999999999</v>
      </c>
      <c r="N25" s="153">
        <f t="shared" si="6"/>
        <v>1258.79</v>
      </c>
      <c r="O25" s="184">
        <f>SUM(C25:N25)</f>
        <v>16490.430000000004</v>
      </c>
      <c r="Q25" s="50"/>
    </row>
    <row r="26" spans="1:17" x14ac:dyDescent="0.2">
      <c r="H26" s="50"/>
      <c r="I26" s="50"/>
      <c r="O26" s="104"/>
      <c r="Q26" s="50"/>
    </row>
    <row r="27" spans="1:17" x14ac:dyDescent="0.2">
      <c r="A27" s="74" t="s">
        <v>95</v>
      </c>
      <c r="B27" s="74" t="s">
        <v>169</v>
      </c>
      <c r="C27" s="50">
        <f>2311.67/(2973/2976)</f>
        <v>2314.0026639757821</v>
      </c>
      <c r="D27" s="50">
        <f>5563.086/(2972/2976)</f>
        <v>5570.5733297442803</v>
      </c>
      <c r="E27" s="50">
        <f>3391.72/(2877/2880)</f>
        <v>3395.2567257559958</v>
      </c>
      <c r="F27" s="50">
        <f>2152.334/(2966/2976)</f>
        <v>2159.5906891436275</v>
      </c>
      <c r="G27" s="50">
        <f>1775.499/(2876/2880)</f>
        <v>1777.9684005563283</v>
      </c>
      <c r="H27" s="50">
        <f>901.776/(2694/2976)</f>
        <v>996.17126057906455</v>
      </c>
      <c r="I27" s="50">
        <f>AVERAGE(406,217)</f>
        <v>311.5</v>
      </c>
      <c r="J27" s="50">
        <f>3352.16898973514/(2688/2688)</f>
        <v>3352.1689897351398</v>
      </c>
      <c r="K27" s="50">
        <f>632.445/(2192/2976)</f>
        <v>858.64795620437962</v>
      </c>
      <c r="L27" s="50">
        <f>1271/(2676/2880)</f>
        <v>1367.8923766816142</v>
      </c>
      <c r="M27" s="50">
        <f>1159.88/(2785/2976)</f>
        <v>1239.4265278276482</v>
      </c>
      <c r="N27" s="50">
        <f>1719.2/(2214/2880)</f>
        <v>2236.3577235772359</v>
      </c>
      <c r="O27" s="107">
        <f>SUM(C27:N27)</f>
        <v>25579.556643781096</v>
      </c>
      <c r="Q27" s="50"/>
    </row>
    <row r="28" spans="1:17" x14ac:dyDescent="0.2">
      <c r="A28" s="64" t="s">
        <v>176</v>
      </c>
      <c r="B28" s="74" t="s">
        <v>50</v>
      </c>
      <c r="C28" s="153">
        <f t="shared" ref="C28:N28" si="7">ROUND(C27*C$4,2)</f>
        <v>259.99</v>
      </c>
      <c r="D28" s="153">
        <f t="shared" si="7"/>
        <v>625.88</v>
      </c>
      <c r="E28" s="153">
        <f t="shared" si="7"/>
        <v>381.47</v>
      </c>
      <c r="F28" s="153">
        <f t="shared" si="7"/>
        <v>242.64</v>
      </c>
      <c r="G28" s="153">
        <f t="shared" si="7"/>
        <v>199.76</v>
      </c>
      <c r="H28" s="153">
        <f t="shared" si="7"/>
        <v>111.92</v>
      </c>
      <c r="I28" s="153">
        <f t="shared" si="7"/>
        <v>35</v>
      </c>
      <c r="J28" s="153">
        <f t="shared" si="7"/>
        <v>376.63</v>
      </c>
      <c r="K28" s="153">
        <f t="shared" si="7"/>
        <v>96.47</v>
      </c>
      <c r="L28" s="153">
        <f t="shared" si="7"/>
        <v>153.69</v>
      </c>
      <c r="M28" s="153">
        <f t="shared" si="7"/>
        <v>139.26</v>
      </c>
      <c r="N28" s="153">
        <f t="shared" si="7"/>
        <v>251.27</v>
      </c>
      <c r="O28" s="184">
        <f>SUM(C28:N28)</f>
        <v>2873.98</v>
      </c>
      <c r="Q28" s="50"/>
    </row>
    <row r="29" spans="1:17" x14ac:dyDescent="0.2">
      <c r="O29" s="104"/>
      <c r="Q29" s="50"/>
    </row>
    <row r="30" spans="1:17" x14ac:dyDescent="0.2">
      <c r="A30" s="74" t="s">
        <v>21</v>
      </c>
      <c r="B30" s="74" t="s">
        <v>169</v>
      </c>
      <c r="C30" s="50">
        <f>4795.446/(2975/2976)</f>
        <v>4797.0579146218488</v>
      </c>
      <c r="D30" s="50">
        <f>5545.2/(2944/2976)</f>
        <v>5605.4739130434782</v>
      </c>
      <c r="E30" s="50">
        <f>6023.054/(2880/2880)</f>
        <v>6023.0540000000001</v>
      </c>
      <c r="F30" s="50">
        <f>3209.795/(2959/2976)</f>
        <v>3228.2358634673878</v>
      </c>
      <c r="G30" s="50">
        <f>2039.478/(2875/2880)</f>
        <v>2043.0249182608698</v>
      </c>
      <c r="H30" s="50">
        <f>2024.773/(2705/2976)</f>
        <v>2227.6245648798522</v>
      </c>
      <c r="I30" s="50">
        <f>AVERAGE(411,977)</f>
        <v>694</v>
      </c>
      <c r="J30" s="50">
        <f>1440.59312509605/(2688/2688)</f>
        <v>1440.59312509605</v>
      </c>
      <c r="K30" s="50">
        <f>2122.867/(2236/2976)</f>
        <v>2825.4258461538466</v>
      </c>
      <c r="L30" s="50">
        <f>3092.14/(2578/2880)</f>
        <v>3454.368968192397</v>
      </c>
      <c r="M30" s="50">
        <f>3081.206/(2790/2976)</f>
        <v>3286.6197333333334</v>
      </c>
      <c r="N30" s="50">
        <f>3932.9/(2153/2880)</f>
        <v>5260.915931258709</v>
      </c>
      <c r="O30" s="107">
        <f>SUM(C30:N30)</f>
        <v>40886.394778307775</v>
      </c>
      <c r="Q30" s="50"/>
    </row>
    <row r="31" spans="1:17" x14ac:dyDescent="0.2">
      <c r="A31" s="64" t="s">
        <v>177</v>
      </c>
      <c r="B31" s="74" t="s">
        <v>50</v>
      </c>
      <c r="C31" s="153">
        <f t="shared" ref="C31:N31" si="8">ROUND(C30*C$4,2)</f>
        <v>538.97</v>
      </c>
      <c r="D31" s="153">
        <f t="shared" si="8"/>
        <v>629.79999999999995</v>
      </c>
      <c r="E31" s="153">
        <f t="shared" si="8"/>
        <v>676.72</v>
      </c>
      <c r="F31" s="153">
        <f t="shared" si="8"/>
        <v>362.71</v>
      </c>
      <c r="G31" s="153">
        <f t="shared" si="8"/>
        <v>229.54</v>
      </c>
      <c r="H31" s="153">
        <f t="shared" si="8"/>
        <v>250.28</v>
      </c>
      <c r="I31" s="153">
        <f t="shared" si="8"/>
        <v>77.97</v>
      </c>
      <c r="J31" s="153">
        <f t="shared" si="8"/>
        <v>161.86000000000001</v>
      </c>
      <c r="K31" s="153">
        <f t="shared" si="8"/>
        <v>317.45</v>
      </c>
      <c r="L31" s="153">
        <f t="shared" si="8"/>
        <v>388.12</v>
      </c>
      <c r="M31" s="153">
        <f t="shared" si="8"/>
        <v>369.27</v>
      </c>
      <c r="N31" s="153">
        <f t="shared" si="8"/>
        <v>591.09</v>
      </c>
      <c r="O31" s="184">
        <f>SUM(C31:N31)</f>
        <v>4593.78</v>
      </c>
      <c r="Q31" s="50"/>
    </row>
    <row r="32" spans="1:17" x14ac:dyDescent="0.2">
      <c r="O32" s="104"/>
      <c r="Q32" s="50"/>
    </row>
    <row r="33" spans="1:17" x14ac:dyDescent="0.2">
      <c r="A33" s="74" t="s">
        <v>96</v>
      </c>
      <c r="B33" s="74" t="s">
        <v>169</v>
      </c>
      <c r="C33" s="50">
        <f>2720.93/(2974/2976)</f>
        <v>2722.7598117014122</v>
      </c>
      <c r="D33" s="50">
        <f>3904.12/(2975/2976)</f>
        <v>3905.4323092436975</v>
      </c>
      <c r="E33" s="50">
        <f>4342.08/(2877/2880)</f>
        <v>4346.6077163712198</v>
      </c>
      <c r="F33" s="50">
        <f>2008.412/(2954/2976)</f>
        <v>2023.3697061611376</v>
      </c>
      <c r="G33" s="50">
        <f>1638.584/(2816/2880)</f>
        <v>1675.8245454545456</v>
      </c>
      <c r="H33" s="50">
        <f>739.988/(2706/2976)</f>
        <v>813.82272283813757</v>
      </c>
      <c r="I33" s="50">
        <f>AVERAGE(63, 413)</f>
        <v>238</v>
      </c>
      <c r="J33" s="111">
        <f>2300.92574175228/(2688/2688)</f>
        <v>2300.9257417522799</v>
      </c>
      <c r="K33" s="50">
        <f>1042.735/(2243/2976)</f>
        <v>1383.4950334373607</v>
      </c>
      <c r="L33" s="50">
        <f>1117.425/(2663/2880)</f>
        <v>1208.4806609087495</v>
      </c>
      <c r="M33" s="50">
        <f>3081.206/(2790/2976)</f>
        <v>3286.6197333333334</v>
      </c>
      <c r="N33" s="50">
        <f>2221.5/(2214/2880)</f>
        <v>2889.7560975609754</v>
      </c>
      <c r="O33" s="107">
        <f>SUM(C33:N33)</f>
        <v>26795.09407876285</v>
      </c>
      <c r="Q33" s="50"/>
    </row>
    <row r="34" spans="1:17" x14ac:dyDescent="0.2">
      <c r="A34" s="64" t="s">
        <v>178</v>
      </c>
      <c r="B34" s="74" t="s">
        <v>50</v>
      </c>
      <c r="C34" s="153">
        <f t="shared" ref="C34:N34" si="9">ROUND(C33*C$4,2)</f>
        <v>305.92</v>
      </c>
      <c r="D34" s="153">
        <f t="shared" si="9"/>
        <v>438.79</v>
      </c>
      <c r="E34" s="153">
        <f t="shared" si="9"/>
        <v>488.36</v>
      </c>
      <c r="F34" s="153">
        <f t="shared" si="9"/>
        <v>227.34</v>
      </c>
      <c r="G34" s="153">
        <f t="shared" si="9"/>
        <v>188.29</v>
      </c>
      <c r="H34" s="153">
        <f t="shared" si="9"/>
        <v>91.44</v>
      </c>
      <c r="I34" s="153">
        <f t="shared" si="9"/>
        <v>26.74</v>
      </c>
      <c r="J34" s="153">
        <f t="shared" si="9"/>
        <v>258.52</v>
      </c>
      <c r="K34" s="153">
        <f t="shared" si="9"/>
        <v>155.44</v>
      </c>
      <c r="L34" s="153">
        <f t="shared" si="9"/>
        <v>135.78</v>
      </c>
      <c r="M34" s="153">
        <f t="shared" si="9"/>
        <v>369.27</v>
      </c>
      <c r="N34" s="153">
        <f t="shared" si="9"/>
        <v>324.68</v>
      </c>
      <c r="O34" s="184">
        <f>SUM(C34:N34)</f>
        <v>3010.57</v>
      </c>
      <c r="Q34" s="50"/>
    </row>
    <row r="35" spans="1:17" x14ac:dyDescent="0.2">
      <c r="O35" s="184"/>
      <c r="Q35" s="50"/>
    </row>
    <row r="36" spans="1:17" x14ac:dyDescent="0.2">
      <c r="A36" s="74" t="s">
        <v>53</v>
      </c>
      <c r="B36" s="74" t="s">
        <v>169</v>
      </c>
      <c r="C36" s="50">
        <f>24991.57/(2940/2976)</f>
        <v>25297.589224489795</v>
      </c>
      <c r="D36" s="50">
        <f>32665.07/(2953/2976)</f>
        <v>32919.488086691497</v>
      </c>
      <c r="E36" s="50">
        <f>30405.171/(2828/2880)</f>
        <v>30964.247694483733</v>
      </c>
      <c r="F36" s="50">
        <f>14162.438/(2796/2976)</f>
        <v>15074.182935622317</v>
      </c>
      <c r="G36" s="50">
        <f>3858.853/(1738/2880)</f>
        <v>6394.4169390103571</v>
      </c>
      <c r="H36" s="50">
        <f>(1495+7395)/2</f>
        <v>4445</v>
      </c>
      <c r="I36" s="50">
        <f>AVERAGE(4163,562)</f>
        <v>2362.5</v>
      </c>
      <c r="J36" s="50">
        <f>3444.45364187583/(2688/2688)</f>
        <v>3444.4536418758298</v>
      </c>
      <c r="K36" s="50">
        <f>4474.4/(2224/2976)</f>
        <v>5987.3266187050358</v>
      </c>
      <c r="L36" s="50">
        <f>8254.52/(1908/2880)</f>
        <v>12459.652830188681</v>
      </c>
      <c r="M36" s="50">
        <f>11779.66/(2427/2976)</f>
        <v>14444.280247218789</v>
      </c>
      <c r="N36" s="50">
        <f>11298.95/(1581/2880)</f>
        <v>20582.5275142315</v>
      </c>
      <c r="O36" s="107">
        <f>SUM(C36:N36)</f>
        <v>174375.66573251755</v>
      </c>
      <c r="Q36" s="50"/>
    </row>
    <row r="37" spans="1:17" x14ac:dyDescent="0.2">
      <c r="A37" s="64" t="s">
        <v>179</v>
      </c>
      <c r="B37" s="74" t="s">
        <v>50</v>
      </c>
      <c r="C37" s="153">
        <f t="shared" ref="C37:N37" si="10">ROUND(C36*C$4,2)</f>
        <v>2842.31</v>
      </c>
      <c r="D37" s="153">
        <f t="shared" si="10"/>
        <v>3698.67</v>
      </c>
      <c r="E37" s="153">
        <f t="shared" si="10"/>
        <v>3478.99</v>
      </c>
      <c r="F37" s="153">
        <f t="shared" si="10"/>
        <v>1693.66</v>
      </c>
      <c r="G37" s="153">
        <f t="shared" si="10"/>
        <v>718.44</v>
      </c>
      <c r="H37" s="153">
        <f t="shared" si="10"/>
        <v>499.42</v>
      </c>
      <c r="I37" s="153">
        <f t="shared" si="10"/>
        <v>265.44</v>
      </c>
      <c r="J37" s="153">
        <f t="shared" si="10"/>
        <v>387</v>
      </c>
      <c r="K37" s="153">
        <f t="shared" si="10"/>
        <v>672.71</v>
      </c>
      <c r="L37" s="153">
        <f t="shared" si="10"/>
        <v>1399.9</v>
      </c>
      <c r="M37" s="153">
        <f t="shared" si="10"/>
        <v>1622.89</v>
      </c>
      <c r="N37" s="153">
        <f t="shared" si="10"/>
        <v>2312.5500000000002</v>
      </c>
      <c r="O37" s="184">
        <f>SUM(C37:N37)</f>
        <v>19591.98</v>
      </c>
      <c r="Q37" s="50"/>
    </row>
    <row r="38" spans="1:17" x14ac:dyDescent="0.2">
      <c r="A38" s="64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84"/>
      <c r="Q38" s="50"/>
    </row>
    <row r="39" spans="1:17" x14ac:dyDescent="0.2">
      <c r="A39" s="74" t="s">
        <v>25</v>
      </c>
      <c r="B39" s="74" t="s">
        <v>169</v>
      </c>
      <c r="C39" s="50">
        <f>12870.31/(2976/2976)</f>
        <v>12870.31</v>
      </c>
      <c r="D39" s="50">
        <f>17405.02/(2975/2976)</f>
        <v>17410.870426890757</v>
      </c>
      <c r="E39" s="123">
        <f>14832.79/(2880/2880)</f>
        <v>14832.79</v>
      </c>
      <c r="F39" s="111">
        <f>6319.311/(2968/2976)</f>
        <v>6336.3441832884091</v>
      </c>
      <c r="G39" s="111">
        <f>1692.6198/(2876/2880)</f>
        <v>1694.9739304589707</v>
      </c>
      <c r="H39" s="111">
        <f>605.884/(2976/2976)</f>
        <v>605.88400000000001</v>
      </c>
      <c r="I39" s="111">
        <f>727.363/(2976/2976)</f>
        <v>727.36300000000006</v>
      </c>
      <c r="J39" s="111">
        <f>373.628125747045/(2688/2688)</f>
        <v>373.62812574704498</v>
      </c>
      <c r="K39" s="111">
        <f>1673.704/(2210/2976)</f>
        <v>2253.8204090497738</v>
      </c>
      <c r="L39" s="111">
        <f>4996.9/(2814/2880)</f>
        <v>5114.0980810234541</v>
      </c>
      <c r="M39" s="111">
        <f>4414.31/(2882/2976)</f>
        <v>4558.2881887578078</v>
      </c>
      <c r="N39" s="111">
        <f>1223.9/(659/2880)</f>
        <v>5348.7587253414267</v>
      </c>
      <c r="O39" s="107">
        <f>SUM(C39:N39)</f>
        <v>72127.129070557639</v>
      </c>
      <c r="Q39" s="50"/>
    </row>
    <row r="40" spans="1:17" x14ac:dyDescent="0.2">
      <c r="A40" s="74" t="s">
        <v>26</v>
      </c>
      <c r="B40" s="74" t="s">
        <v>50</v>
      </c>
      <c r="C40" s="153">
        <f t="shared" ref="C40:N40" si="11">ROUND(C39*C$4,2)</f>
        <v>1446.04</v>
      </c>
      <c r="D40" s="153">
        <f t="shared" si="11"/>
        <v>1956.2</v>
      </c>
      <c r="E40" s="153">
        <f t="shared" si="11"/>
        <v>1666.54</v>
      </c>
      <c r="F40" s="153">
        <f t="shared" si="11"/>
        <v>711.92</v>
      </c>
      <c r="G40" s="153">
        <f t="shared" si="11"/>
        <v>190.44</v>
      </c>
      <c r="H40" s="153">
        <f t="shared" si="11"/>
        <v>68.069999999999993</v>
      </c>
      <c r="I40" s="153">
        <f t="shared" si="11"/>
        <v>81.72</v>
      </c>
      <c r="J40" s="153">
        <f t="shared" si="11"/>
        <v>41.98</v>
      </c>
      <c r="K40" s="153">
        <f t="shared" si="11"/>
        <v>253.23</v>
      </c>
      <c r="L40" s="153">
        <f t="shared" si="11"/>
        <v>574.59</v>
      </c>
      <c r="M40" s="153">
        <f t="shared" si="11"/>
        <v>512.15</v>
      </c>
      <c r="N40" s="153">
        <f t="shared" si="11"/>
        <v>600.96</v>
      </c>
      <c r="O40" s="220">
        <f>SUM(C40:N40)</f>
        <v>8103.8399999999983</v>
      </c>
      <c r="Q40" s="50"/>
    </row>
    <row r="41" spans="1:17" x14ac:dyDescent="0.2">
      <c r="A41" s="64" t="s">
        <v>180</v>
      </c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84"/>
      <c r="Q41" s="50"/>
    </row>
    <row r="42" spans="1:17" x14ac:dyDescent="0.2">
      <c r="A42" s="74" t="s">
        <v>27</v>
      </c>
      <c r="B42" s="74" t="s">
        <v>169</v>
      </c>
      <c r="C42" s="50">
        <f>11779.26/(2601/2976)</f>
        <v>13477.538546712802</v>
      </c>
      <c r="D42" s="50">
        <f>18186.92/(2976/2976)</f>
        <v>18186.919999999998</v>
      </c>
      <c r="E42" s="50">
        <f>16093.697/(2708/2880)</f>
        <v>17115.896366322009</v>
      </c>
      <c r="F42" s="111">
        <f>8357.74/(2970/2976)</f>
        <v>8374.6243232323231</v>
      </c>
      <c r="G42" s="111">
        <f>5039.603/(2879/2880)</f>
        <v>5041.3534699548454</v>
      </c>
      <c r="H42" s="111">
        <f>2338.682/(2976/2976)</f>
        <v>2338.6819999999998</v>
      </c>
      <c r="I42" s="111">
        <f>2479.737/(2976/2976)</f>
        <v>2479.7370000000001</v>
      </c>
      <c r="J42" s="111">
        <f>1120.37260845457/(2688/2688)</f>
        <v>1120.3726084545699</v>
      </c>
      <c r="K42" s="111">
        <f>2501.5/(2229/2976)</f>
        <v>3339.8223418573348</v>
      </c>
      <c r="L42" s="111">
        <f>3847.623/(1695/2880)</f>
        <v>6537.5541238938058</v>
      </c>
      <c r="M42" s="111">
        <f>6004.19/(2875/2976)</f>
        <v>6215.1198052173904</v>
      </c>
      <c r="N42" s="111">
        <f>5618.2/(1755/2880)</f>
        <v>9219.6102564102566</v>
      </c>
      <c r="O42" s="107">
        <f>SUM(C42:N42)</f>
        <v>93447.230842055331</v>
      </c>
      <c r="Q42" s="50"/>
    </row>
    <row r="43" spans="1:17" s="74" customFormat="1" ht="11.25" customHeight="1" x14ac:dyDescent="0.2">
      <c r="A43" s="74" t="s">
        <v>28</v>
      </c>
      <c r="B43" s="74" t="s">
        <v>50</v>
      </c>
      <c r="C43" s="153">
        <f t="shared" ref="C43:N43" si="12">ROUND(C42*C$4,2)</f>
        <v>1514.27</v>
      </c>
      <c r="D43" s="153">
        <f t="shared" si="12"/>
        <v>2043.39</v>
      </c>
      <c r="E43" s="153">
        <f t="shared" si="12"/>
        <v>1923.06</v>
      </c>
      <c r="F43" s="153">
        <f t="shared" si="12"/>
        <v>940.93</v>
      </c>
      <c r="G43" s="153">
        <f t="shared" si="12"/>
        <v>566.41999999999996</v>
      </c>
      <c r="H43" s="153">
        <f t="shared" si="12"/>
        <v>262.76</v>
      </c>
      <c r="I43" s="153">
        <f t="shared" si="12"/>
        <v>278.61</v>
      </c>
      <c r="J43" s="153">
        <f t="shared" si="12"/>
        <v>125.88</v>
      </c>
      <c r="K43" s="153">
        <f t="shared" si="12"/>
        <v>375.25</v>
      </c>
      <c r="L43" s="153">
        <f t="shared" si="12"/>
        <v>734.53</v>
      </c>
      <c r="M43" s="153">
        <f t="shared" si="12"/>
        <v>698.3</v>
      </c>
      <c r="N43" s="153">
        <f t="shared" si="12"/>
        <v>1035.8699999999999</v>
      </c>
      <c r="O43" s="220">
        <f>SUM(C43:N43)</f>
        <v>10499.27</v>
      </c>
      <c r="Q43" s="50"/>
    </row>
    <row r="44" spans="1:17" s="74" customFormat="1" ht="11.25" customHeight="1" x14ac:dyDescent="0.2">
      <c r="A44" s="64" t="s">
        <v>181</v>
      </c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84"/>
      <c r="Q44" s="50"/>
    </row>
    <row r="45" spans="1:17" s="74" customFormat="1" ht="11.25" customHeight="1" x14ac:dyDescent="0.2">
      <c r="A45" s="74" t="s">
        <v>29</v>
      </c>
      <c r="B45" s="74" t="s">
        <v>169</v>
      </c>
      <c r="C45" s="50">
        <f>41880.06/(2818/2976)</f>
        <v>44228.196792051102</v>
      </c>
      <c r="D45" s="50">
        <f>47244.88/(2976/2976)</f>
        <v>47244.88</v>
      </c>
      <c r="E45" s="50">
        <f>42013.59/(2880/2880)</f>
        <v>42013.59</v>
      </c>
      <c r="F45" s="111">
        <f>21542.644/(2970/2976)</f>
        <v>21586.164492929296</v>
      </c>
      <c r="G45" s="111">
        <f>9430.432/(2879/2880)</f>
        <v>9433.7075929142084</v>
      </c>
      <c r="H45" s="111">
        <f>2476.523/(2976/2976)</f>
        <v>2476.5230000000001</v>
      </c>
      <c r="I45" s="111">
        <f>2105.42/(2976/2976)</f>
        <v>2105.42</v>
      </c>
      <c r="J45" s="111">
        <f>1079.27416771494/(2688/2688)</f>
        <v>1079.2741677149399</v>
      </c>
      <c r="K45" s="111">
        <f>9658.122/(2352/2976)</f>
        <v>12220.480897959183</v>
      </c>
      <c r="L45" s="111">
        <f>12119.5/(2809/2880)</f>
        <v>12425.831256674974</v>
      </c>
      <c r="M45" s="111">
        <f>17341.438/(2069/2976)</f>
        <v>24943.508694055097</v>
      </c>
      <c r="N45" s="111">
        <f>22074.6/(2320/2880)</f>
        <v>27402.951724137929</v>
      </c>
      <c r="O45" s="107">
        <f>SUM(C45:N45)</f>
        <v>247160.52861843671</v>
      </c>
    </row>
    <row r="46" spans="1:17" s="74" customFormat="1" ht="11.25" customHeight="1" x14ac:dyDescent="0.2">
      <c r="B46" s="74" t="s">
        <v>50</v>
      </c>
      <c r="C46" s="153">
        <f t="shared" ref="C46:N46" si="13">ROUND(C45*C$4,2)</f>
        <v>4969.26</v>
      </c>
      <c r="D46" s="153">
        <f t="shared" si="13"/>
        <v>5308.2</v>
      </c>
      <c r="E46" s="153">
        <f t="shared" si="13"/>
        <v>4720.4399999999996</v>
      </c>
      <c r="F46" s="153">
        <f t="shared" si="13"/>
        <v>2425.31</v>
      </c>
      <c r="G46" s="153">
        <f t="shared" si="13"/>
        <v>1059.92</v>
      </c>
      <c r="H46" s="153">
        <f t="shared" si="13"/>
        <v>278.25</v>
      </c>
      <c r="I46" s="153">
        <f t="shared" si="13"/>
        <v>236.55</v>
      </c>
      <c r="J46" s="153">
        <f t="shared" si="13"/>
        <v>121.26</v>
      </c>
      <c r="K46" s="153">
        <f t="shared" si="13"/>
        <v>1373.03</v>
      </c>
      <c r="L46" s="153">
        <f t="shared" si="13"/>
        <v>1396.1</v>
      </c>
      <c r="M46" s="153">
        <f t="shared" si="13"/>
        <v>2802.53</v>
      </c>
      <c r="N46" s="153">
        <f t="shared" si="13"/>
        <v>3078.86</v>
      </c>
      <c r="O46" s="220">
        <f>SUM(C46:N46)</f>
        <v>27769.709999999992</v>
      </c>
    </row>
    <row r="47" spans="1:17" s="74" customFormat="1" ht="11.25" customHeight="1" x14ac:dyDescent="0.2">
      <c r="A47" s="64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84"/>
    </row>
    <row r="48" spans="1:17" s="74" customFormat="1" ht="11.25" customHeight="1" x14ac:dyDescent="0.2">
      <c r="A48" s="64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84"/>
    </row>
    <row r="49" spans="1:16" s="74" customForma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108"/>
    </row>
    <row r="50" spans="1:16" s="74" customFormat="1" ht="11.25" customHeight="1" x14ac:dyDescent="0.2">
      <c r="A50" s="74" t="s">
        <v>182</v>
      </c>
      <c r="B50" s="97"/>
      <c r="C50" s="50">
        <f t="shared" ref="C50:N50" si="14">C6+C45+C9+C12+C15+C18+C21+C24+C27+C30+C33+C36+C39+C42</f>
        <v>165011.54375127319</v>
      </c>
      <c r="D50" s="50">
        <f t="shared" si="14"/>
        <v>193906.28002953139</v>
      </c>
      <c r="E50" s="50">
        <f t="shared" si="14"/>
        <v>169798.05949073518</v>
      </c>
      <c r="F50" s="50">
        <f t="shared" si="14"/>
        <v>98783.295657243027</v>
      </c>
      <c r="G50" s="50">
        <f t="shared" si="14"/>
        <v>60100.743376747749</v>
      </c>
      <c r="H50" s="50">
        <f t="shared" si="14"/>
        <v>24875.153319698715</v>
      </c>
      <c r="I50" s="50">
        <f t="shared" si="14"/>
        <v>15535.52</v>
      </c>
      <c r="J50" s="50">
        <f t="shared" si="14"/>
        <v>28967.358744718735</v>
      </c>
      <c r="K50" s="50">
        <f t="shared" si="14"/>
        <v>43552.696499932252</v>
      </c>
      <c r="L50" s="50">
        <f t="shared" si="14"/>
        <v>55542.65278024695</v>
      </c>
      <c r="M50" s="50">
        <f t="shared" si="14"/>
        <v>84051.274248311078</v>
      </c>
      <c r="N50" s="50">
        <f t="shared" si="14"/>
        <v>109143.07201120049</v>
      </c>
      <c r="O50" s="107">
        <f>O6+O9+O12+O15+O18+O21+O24+O27+O30+O33+O36+O39+O42+O45</f>
        <v>1049267.6499096388</v>
      </c>
      <c r="P50" s="77">
        <f>SUM(C50:N50)</f>
        <v>1049267.6499096388</v>
      </c>
    </row>
    <row r="51" spans="1:16" s="74" customFormat="1" ht="11.25" customHeight="1" x14ac:dyDescent="0.2">
      <c r="A51" s="74" t="s">
        <v>68</v>
      </c>
      <c r="C51" s="153">
        <f t="shared" ref="C51:N51" si="15">C7+C10+C46+C13+C16+C19+C22+C25+C28+C31+C34+C37+C40+C43</f>
        <v>18539.86</v>
      </c>
      <c r="D51" s="153">
        <f t="shared" si="15"/>
        <v>21786.329999999998</v>
      </c>
      <c r="E51" s="153">
        <f t="shared" si="15"/>
        <v>19077.670000000002</v>
      </c>
      <c r="F51" s="153">
        <f t="shared" si="15"/>
        <v>11098.810000000001</v>
      </c>
      <c r="G51" s="153">
        <f t="shared" si="15"/>
        <v>6752.62</v>
      </c>
      <c r="H51" s="153">
        <f t="shared" si="15"/>
        <v>2794.84</v>
      </c>
      <c r="I51" s="153">
        <f t="shared" si="15"/>
        <v>1745.4900000000002</v>
      </c>
      <c r="J51" s="153">
        <f t="shared" si="15"/>
        <v>3254.6200000000003</v>
      </c>
      <c r="K51" s="153">
        <f t="shared" si="15"/>
        <v>4893.3599999999988</v>
      </c>
      <c r="L51" s="153">
        <f t="shared" si="15"/>
        <v>6240.4900000000007</v>
      </c>
      <c r="M51" s="153">
        <f t="shared" si="15"/>
        <v>9443.6</v>
      </c>
      <c r="N51" s="153">
        <f t="shared" si="15"/>
        <v>12262.779999999999</v>
      </c>
      <c r="O51" s="184">
        <f>O7+O10+O13+O16+O19+O22+O25+O28+O31+O34+O37+O40+O43+O46</f>
        <v>117890.47</v>
      </c>
      <c r="P51" s="153">
        <f>SUM(C51:N51)</f>
        <v>117890.47</v>
      </c>
    </row>
    <row r="53" spans="1:16" x14ac:dyDescent="0.2">
      <c r="A53" s="5" t="s">
        <v>34</v>
      </c>
    </row>
    <row r="54" spans="1:16" s="55" customFormat="1" x14ac:dyDescent="0.2">
      <c r="A54" s="34" t="s">
        <v>183</v>
      </c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</row>
    <row r="55" spans="1:16" s="128" customFormat="1" x14ac:dyDescent="0.2">
      <c r="A55" s="34" t="s">
        <v>184</v>
      </c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</row>
    <row r="56" spans="1:16" x14ac:dyDescent="0.2">
      <c r="A56" s="5" t="s">
        <v>185</v>
      </c>
    </row>
    <row r="57" spans="1:16" x14ac:dyDescent="0.2">
      <c r="A57" s="5" t="s">
        <v>186</v>
      </c>
    </row>
    <row r="100" spans="18:18" x14ac:dyDescent="0.2">
      <c r="R100">
        <f>(R40-Q40)/58*28</f>
        <v>0</v>
      </c>
    </row>
    <row r="1902" spans="12:12" x14ac:dyDescent="0.2">
      <c r="L1902" s="74">
        <v>0</v>
      </c>
    </row>
  </sheetData>
  <printOptions horizontalCentered="1" verticalCentered="1"/>
  <pageMargins left="0" right="0" top="0.5" bottom="0.5" header="0.5" footer="0.5"/>
  <pageSetup scale="72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90"/>
  <sheetViews>
    <sheetView zoomScale="120" zoomScaleNormal="120" workbookViewId="0">
      <pane xSplit="16" ySplit="3" topLeftCell="Q43" activePane="bottomRight" state="frozen"/>
      <selection pane="topRight" activeCell="Q1" sqref="Q1"/>
      <selection pane="bottomLeft" activeCell="A4" sqref="A4"/>
      <selection pane="bottomRight" activeCell="R56" sqref="R56"/>
    </sheetView>
  </sheetViews>
  <sheetFormatPr defaultColWidth="9.140625" defaultRowHeight="11.25" x14ac:dyDescent="0.2"/>
  <cols>
    <col min="1" max="1" width="15.140625" style="74" customWidth="1"/>
    <col min="2" max="2" width="12.85546875" style="74" customWidth="1"/>
    <col min="3" max="3" width="6.5703125" style="74" hidden="1" customWidth="1"/>
    <col min="4" max="4" width="7.140625" style="74" hidden="1" customWidth="1"/>
    <col min="5" max="5" width="10.42578125" style="74" hidden="1" customWidth="1"/>
    <col min="6" max="6" width="12.85546875" style="74" hidden="1" customWidth="1"/>
    <col min="7" max="7" width="11.85546875" style="74" hidden="1" customWidth="1"/>
    <col min="8" max="8" width="9.5703125" style="74" hidden="1" customWidth="1"/>
    <col min="9" max="9" width="7.140625" style="74" hidden="1" customWidth="1"/>
    <col min="10" max="10" width="9.85546875" style="74" customWidth="1"/>
    <col min="11" max="11" width="9.85546875" style="74" hidden="1" customWidth="1"/>
    <col min="12" max="12" width="10.42578125" style="74" hidden="1" customWidth="1"/>
    <col min="13" max="13" width="11.5703125" style="74" hidden="1" customWidth="1"/>
    <col min="14" max="14" width="9.85546875" style="74" hidden="1" customWidth="1"/>
    <col min="15" max="15" width="10.42578125" style="74" hidden="1" customWidth="1"/>
    <col min="16" max="16" width="9.5703125" style="74" hidden="1" customWidth="1"/>
    <col min="17" max="17" width="8.28515625" style="74" customWidth="1"/>
    <col min="18" max="18" width="7.7109375" style="74" customWidth="1"/>
    <col min="19" max="19" width="9.140625" style="74" customWidth="1"/>
    <col min="20" max="20" width="13.28515625" style="74" customWidth="1"/>
    <col min="21" max="21" width="9.140625" style="74" customWidth="1"/>
    <col min="22" max="16384" width="9.140625" style="74"/>
  </cols>
  <sheetData>
    <row r="1" spans="1:16" ht="15.75" customHeight="1" x14ac:dyDescent="0.25">
      <c r="A1" s="33" t="s">
        <v>2</v>
      </c>
      <c r="L1" s="140"/>
      <c r="N1" s="135"/>
    </row>
    <row r="3" spans="1:16" ht="12" customHeight="1" x14ac:dyDescent="0.2">
      <c r="A3" s="76" t="s">
        <v>3</v>
      </c>
      <c r="B3" s="76" t="s">
        <v>4</v>
      </c>
      <c r="C3" s="146">
        <v>42930</v>
      </c>
      <c r="D3" s="146">
        <v>42961</v>
      </c>
      <c r="E3" s="146">
        <v>42992</v>
      </c>
      <c r="F3" s="146">
        <v>43022</v>
      </c>
      <c r="G3" s="146">
        <v>43053</v>
      </c>
      <c r="H3" s="146">
        <v>43083</v>
      </c>
      <c r="I3" s="146">
        <v>43114</v>
      </c>
      <c r="J3" s="146">
        <v>43145</v>
      </c>
      <c r="K3" s="146">
        <v>43173</v>
      </c>
      <c r="L3" s="146">
        <v>43204</v>
      </c>
      <c r="M3" s="146">
        <v>43234</v>
      </c>
      <c r="N3" s="146">
        <v>43265</v>
      </c>
      <c r="O3" s="65" t="s">
        <v>1</v>
      </c>
      <c r="P3" s="69" t="s">
        <v>5</v>
      </c>
    </row>
    <row r="4" spans="1:16" x14ac:dyDescent="0.2">
      <c r="H4" s="147"/>
      <c r="J4" s="147"/>
      <c r="K4" s="147"/>
      <c r="L4" s="147"/>
      <c r="M4" s="147"/>
      <c r="N4" s="147"/>
      <c r="O4" s="63"/>
    </row>
    <row r="5" spans="1:16" x14ac:dyDescent="0.2">
      <c r="A5" s="74" t="s">
        <v>6</v>
      </c>
      <c r="B5" s="140" t="s">
        <v>7</v>
      </c>
      <c r="C5" s="147">
        <f>Electricity!C23</f>
        <v>3131.32</v>
      </c>
      <c r="D5" s="147">
        <f>Electricity!D23</f>
        <v>2077.41</v>
      </c>
      <c r="E5" s="147">
        <f>Electricity!E23</f>
        <v>28680.92</v>
      </c>
      <c r="F5" s="147">
        <f>Electricity!F23</f>
        <v>3709.85</v>
      </c>
      <c r="G5" s="147">
        <f>Electricity!G23</f>
        <v>3390.56</v>
      </c>
      <c r="H5" s="147">
        <f>Electricity!H23</f>
        <v>4977.78</v>
      </c>
      <c r="I5" s="147">
        <f>Electricity!I23</f>
        <v>2284.81</v>
      </c>
      <c r="J5" s="147">
        <f>Electricity!J23</f>
        <v>2890.02</v>
      </c>
      <c r="K5" s="147">
        <f>Electricity!K23</f>
        <v>3118.44</v>
      </c>
      <c r="L5" s="147">
        <f>Electricity!L23</f>
        <v>-29977.91</v>
      </c>
      <c r="M5" s="147">
        <f>Electricity!M23</f>
        <v>2341.17</v>
      </c>
      <c r="N5" s="147">
        <f>Electricity!N23</f>
        <v>2757.61</v>
      </c>
      <c r="O5" s="147">
        <f t="shared" ref="O5:O33" si="0">SUM(C5:N5)</f>
        <v>29381.979999999989</v>
      </c>
    </row>
    <row r="6" spans="1:16" x14ac:dyDescent="0.2">
      <c r="A6" s="74" t="s">
        <v>8</v>
      </c>
      <c r="B6" s="140" t="s">
        <v>9</v>
      </c>
      <c r="C6" s="147">
        <f>4/24*(Gas!C$9+Gas!C$13)</f>
        <v>147.80666666666664</v>
      </c>
      <c r="D6" s="147">
        <f>4/24*(Gas!D$9+Gas!D$13)</f>
        <v>229.57666666666665</v>
      </c>
      <c r="E6" s="148">
        <f>4/24*(Gas!E$9+Gas!E$13)</f>
        <v>392.55833333333328</v>
      </c>
      <c r="F6" s="147">
        <f>4/24*(Gas!F$9+Gas!F$13)</f>
        <v>443.98333333333323</v>
      </c>
      <c r="G6" s="147">
        <f>4/24*(Gas!G$9+Gas!G$13)</f>
        <v>592.47833333333324</v>
      </c>
      <c r="H6" s="147">
        <f>4/24*(Gas!H$9+Gas!H$13)</f>
        <v>1236.2266666666665</v>
      </c>
      <c r="I6" s="147">
        <f>4/24*(Gas!I$9+Gas!I$13)</f>
        <v>598.4083333333333</v>
      </c>
      <c r="J6" s="147">
        <f>4/24*(Gas!J$9+Gas!J$13)</f>
        <v>197.36166666666668</v>
      </c>
      <c r="K6" s="147">
        <f>4/24*(Gas!K$9+Gas!K$13)</f>
        <v>-4838.1049999999996</v>
      </c>
      <c r="L6" s="147">
        <f>4/24*(Gas!L$9+Gas!L$13)</f>
        <v>1224.6266666666666</v>
      </c>
      <c r="M6" s="147">
        <f>4/24*(Gas!M$9+Gas!M$13)</f>
        <v>601.93833333333328</v>
      </c>
      <c r="N6" s="147">
        <f>4/24*(Gas!N$9+Gas!N$13)</f>
        <v>99.637190546711082</v>
      </c>
      <c r="O6" s="147">
        <f t="shared" si="0"/>
        <v>926.4971905467105</v>
      </c>
    </row>
    <row r="7" spans="1:16" x14ac:dyDescent="0.2">
      <c r="B7" s="74" t="s">
        <v>10</v>
      </c>
      <c r="C7" s="147">
        <f>Water!C9</f>
        <v>107.3</v>
      </c>
      <c r="D7" s="147">
        <f>Water!D9</f>
        <v>699.65</v>
      </c>
      <c r="E7" s="147">
        <f>Water!E9</f>
        <v>716.99</v>
      </c>
      <c r="F7" s="147">
        <f>Water!F9</f>
        <v>758.9</v>
      </c>
      <c r="G7" s="147">
        <f>Water!G9</f>
        <v>669.89</v>
      </c>
      <c r="H7" s="147">
        <f>Water!H9</f>
        <v>452.38</v>
      </c>
      <c r="I7" s="147">
        <f>Water!I9</f>
        <v>385.52</v>
      </c>
      <c r="J7" s="147">
        <f>Water!J9</f>
        <v>701.3</v>
      </c>
      <c r="K7" s="147">
        <f>Water!K9</f>
        <v>702.67</v>
      </c>
      <c r="L7" s="147">
        <f>Water!L9</f>
        <v>694.09</v>
      </c>
      <c r="M7" s="147">
        <f>Water!M9</f>
        <v>365.22</v>
      </c>
      <c r="N7" s="147">
        <f>Water!N9</f>
        <v>93.91</v>
      </c>
      <c r="O7" s="147">
        <f t="shared" si="0"/>
        <v>6347.8200000000006</v>
      </c>
    </row>
    <row r="8" spans="1:16" x14ac:dyDescent="0.2">
      <c r="B8" s="74" t="s">
        <v>11</v>
      </c>
      <c r="C8" s="147">
        <f>'Chilled Water'!C7</f>
        <v>1412.65</v>
      </c>
      <c r="D8" s="147">
        <f>'Chilled Water'!D7</f>
        <v>1424.41</v>
      </c>
      <c r="E8" s="147">
        <f>'Chilled Water'!E7</f>
        <v>994</v>
      </c>
      <c r="F8" s="147">
        <f>'Chilled Water'!F7</f>
        <v>421.69</v>
      </c>
      <c r="G8" s="147">
        <f>'Chilled Water'!G7</f>
        <v>210.09</v>
      </c>
      <c r="H8" s="147">
        <f>'Chilled Water'!H7</f>
        <v>280.66000000000003</v>
      </c>
      <c r="I8" s="147">
        <f>'Chilled Water'!I7</f>
        <v>57.64</v>
      </c>
      <c r="J8" s="147">
        <f>'Chilled Water'!J7</f>
        <v>326.24</v>
      </c>
      <c r="K8" s="147">
        <f>'Chilled Water'!K7</f>
        <v>177.53</v>
      </c>
      <c r="L8" s="147">
        <f>'Chilled Water'!L7</f>
        <v>195.64</v>
      </c>
      <c r="M8" s="147">
        <f>'Chilled Water'!M7</f>
        <v>531.63</v>
      </c>
      <c r="N8" s="147">
        <f>'Chilled Water'!N7</f>
        <v>1052.3699999999999</v>
      </c>
      <c r="O8" s="147">
        <f t="shared" si="0"/>
        <v>7084.55</v>
      </c>
    </row>
    <row r="9" spans="1:16" x14ac:dyDescent="0.2">
      <c r="A9" s="74" t="s">
        <v>12</v>
      </c>
      <c r="B9" s="140" t="s">
        <v>7</v>
      </c>
      <c r="C9" s="147">
        <f>Electricity!C29</f>
        <v>363.16</v>
      </c>
      <c r="D9" s="147">
        <f>Electricity!D29</f>
        <v>397.47</v>
      </c>
      <c r="E9" s="147">
        <f>Electricity!E29</f>
        <v>671.59</v>
      </c>
      <c r="F9" s="147">
        <f>Electricity!F29</f>
        <v>724.22</v>
      </c>
      <c r="G9" s="147">
        <f>Electricity!G29</f>
        <v>643.87</v>
      </c>
      <c r="H9" s="147">
        <f>Electricity!H29</f>
        <v>517.97</v>
      </c>
      <c r="I9" s="147">
        <f>Electricity!I29</f>
        <v>416.12</v>
      </c>
      <c r="J9" s="147">
        <f>Electricity!J29</f>
        <v>625.65</v>
      </c>
      <c r="K9" s="147">
        <f>Electricity!K29</f>
        <v>609.71</v>
      </c>
      <c r="L9" s="147">
        <f>Electricity!L29</f>
        <v>555.72</v>
      </c>
      <c r="M9" s="147">
        <f>Electricity!M29</f>
        <v>327.98</v>
      </c>
      <c r="N9" s="147">
        <f>Electricity!N29</f>
        <v>266.77</v>
      </c>
      <c r="O9" s="147">
        <f t="shared" si="0"/>
        <v>6120.2300000000014</v>
      </c>
    </row>
    <row r="10" spans="1:16" x14ac:dyDescent="0.2">
      <c r="B10" s="140" t="s">
        <v>9</v>
      </c>
      <c r="C10" s="147">
        <f>2/24*(Gas!C$9+Gas!C$13)</f>
        <v>73.903333333333322</v>
      </c>
      <c r="D10" s="147">
        <f>2/24*(Gas!D$9+Gas!D$13)</f>
        <v>114.78833333333333</v>
      </c>
      <c r="E10" s="147">
        <f>2/24*(Gas!E$9+Gas!E$13)</f>
        <v>196.27916666666664</v>
      </c>
      <c r="F10" s="147">
        <f>2/24*(Gas!F$9+Gas!F$13)</f>
        <v>221.99166666666662</v>
      </c>
      <c r="G10" s="147">
        <f>2/24*(Gas!G$9+Gas!G$13)</f>
        <v>296.23916666666662</v>
      </c>
      <c r="H10" s="147">
        <f>2/24*(Gas!H$9+Gas!H$13)</f>
        <v>618.11333333333323</v>
      </c>
      <c r="I10" s="147">
        <f>2/24*(Gas!I$9+Gas!I$13)</f>
        <v>299.20416666666665</v>
      </c>
      <c r="J10" s="147">
        <f>2/24*(Gas!J$9+Gas!J$13)</f>
        <v>98.680833333333339</v>
      </c>
      <c r="K10" s="147">
        <f>2/24*(Gas!K$9+Gas!K$13)</f>
        <v>-2419.0524999999998</v>
      </c>
      <c r="L10" s="147">
        <f>2/24*(Gas!L$9+Gas!L$13)</f>
        <v>612.31333333333328</v>
      </c>
      <c r="M10" s="147">
        <f>2/24*(Gas!M$9+Gas!M$13)</f>
        <v>300.96916666666664</v>
      </c>
      <c r="N10" s="147">
        <f>2/24*(Gas!N$9+Gas!N$13)</f>
        <v>49.818595273355541</v>
      </c>
      <c r="O10" s="147">
        <f t="shared" si="0"/>
        <v>463.24859527335525</v>
      </c>
    </row>
    <row r="11" spans="1:16" x14ac:dyDescent="0.2">
      <c r="B11" s="74" t="s">
        <v>10</v>
      </c>
      <c r="C11" s="147">
        <f>Water!C13</f>
        <v>4.16</v>
      </c>
      <c r="D11" s="147">
        <f>Water!D13</f>
        <v>136.85</v>
      </c>
      <c r="E11" s="147">
        <f>Water!E13</f>
        <v>251.68</v>
      </c>
      <c r="F11" s="147">
        <f>Water!F13</f>
        <v>264.04000000000002</v>
      </c>
      <c r="G11" s="147">
        <f>Water!G13</f>
        <v>227.08</v>
      </c>
      <c r="H11" s="147">
        <f>Water!H13</f>
        <v>121.21</v>
      </c>
      <c r="I11" s="147">
        <f>Water!I13</f>
        <v>121.91</v>
      </c>
      <c r="J11" s="147">
        <f>Water!J13</f>
        <v>275.70999999999998</v>
      </c>
      <c r="K11" s="147">
        <f>Water!K13</f>
        <v>251.17</v>
      </c>
      <c r="L11" s="147">
        <f>Water!L13</f>
        <v>299.95</v>
      </c>
      <c r="M11" s="147">
        <f>Water!M13</f>
        <v>128.06</v>
      </c>
      <c r="N11" s="147">
        <f>Water!N13</f>
        <v>2.5</v>
      </c>
      <c r="O11" s="147">
        <f t="shared" si="0"/>
        <v>2084.3200000000002</v>
      </c>
    </row>
    <row r="12" spans="1:16" x14ac:dyDescent="0.2">
      <c r="B12" s="74" t="s">
        <v>11</v>
      </c>
      <c r="C12" s="147">
        <f>'Chilled Water'!C10</f>
        <v>1093.03</v>
      </c>
      <c r="D12" s="147">
        <f>'Chilled Water'!D10</f>
        <v>1106.8800000000001</v>
      </c>
      <c r="E12" s="147">
        <f>'Chilled Water'!E10</f>
        <v>613.88</v>
      </c>
      <c r="F12" s="147">
        <f>'Chilled Water'!F10</f>
        <v>309.77999999999997</v>
      </c>
      <c r="G12" s="147">
        <f>'Chilled Water'!G10</f>
        <v>460.98</v>
      </c>
      <c r="H12" s="147">
        <f>'Chilled Water'!H10</f>
        <v>289.52</v>
      </c>
      <c r="I12" s="147">
        <f>'Chilled Water'!I10</f>
        <v>103.93</v>
      </c>
      <c r="J12" s="147">
        <f>'Chilled Water'!J10</f>
        <v>720.83</v>
      </c>
      <c r="K12" s="147">
        <f>'Chilled Water'!K10</f>
        <v>481.87</v>
      </c>
      <c r="L12" s="147">
        <f>'Chilled Water'!L10</f>
        <v>125.88</v>
      </c>
      <c r="M12" s="147">
        <f>'Chilled Water'!M10</f>
        <v>507.69</v>
      </c>
      <c r="N12" s="147">
        <f>'Chilled Water'!N10</f>
        <v>555.54</v>
      </c>
      <c r="O12" s="147">
        <f t="shared" si="0"/>
        <v>6369.8099999999995</v>
      </c>
    </row>
    <row r="13" spans="1:16" x14ac:dyDescent="0.2">
      <c r="A13" s="74" t="s">
        <v>13</v>
      </c>
      <c r="B13" s="140" t="s">
        <v>7</v>
      </c>
      <c r="C13" s="147">
        <f>Electricity!C47</f>
        <v>331.79</v>
      </c>
      <c r="D13" s="147">
        <f>Electricity!D47</f>
        <v>617.82000000000005</v>
      </c>
      <c r="E13" s="147">
        <f>Electricity!E47</f>
        <v>836.69</v>
      </c>
      <c r="F13" s="147">
        <f>Electricity!F47</f>
        <v>929.73</v>
      </c>
      <c r="G13" s="147">
        <f>Electricity!G47</f>
        <v>803.58</v>
      </c>
      <c r="H13" s="147">
        <f>Electricity!H47</f>
        <v>590.27</v>
      </c>
      <c r="I13" s="147">
        <f>Electricity!I47</f>
        <v>552.37</v>
      </c>
      <c r="J13" s="147">
        <f>Electricity!J47</f>
        <v>715.78</v>
      </c>
      <c r="K13" s="147">
        <f>Electricity!K47</f>
        <v>777.08</v>
      </c>
      <c r="L13" s="147">
        <f>Electricity!L47</f>
        <v>715.81</v>
      </c>
      <c r="M13" s="147">
        <f>Electricity!M47</f>
        <v>424.96</v>
      </c>
      <c r="N13" s="147">
        <f>Electricity!N47</f>
        <v>336.74</v>
      </c>
      <c r="O13" s="147">
        <f t="shared" si="0"/>
        <v>7632.62</v>
      </c>
    </row>
    <row r="14" spans="1:16" x14ac:dyDescent="0.2">
      <c r="B14" s="140" t="s">
        <v>9</v>
      </c>
      <c r="C14" s="147">
        <f>2/24*(Gas!C$9+Gas!C$13)</f>
        <v>73.903333333333322</v>
      </c>
      <c r="D14" s="147">
        <f>2/24*(Gas!D$9+Gas!D$13)</f>
        <v>114.78833333333333</v>
      </c>
      <c r="E14" s="148">
        <f>2/24*(Gas!E$9+Gas!E$13)</f>
        <v>196.27916666666664</v>
      </c>
      <c r="F14" s="147">
        <f>2/24*(Gas!F$9+Gas!F$13)</f>
        <v>221.99166666666662</v>
      </c>
      <c r="G14" s="147">
        <f>2/24*(Gas!G$9+Gas!G$13)</f>
        <v>296.23916666666662</v>
      </c>
      <c r="H14" s="147">
        <f>2/24*(Gas!H$9+Gas!H$13)</f>
        <v>618.11333333333323</v>
      </c>
      <c r="I14" s="147">
        <f>2/24*(Gas!I$9+Gas!I$13)</f>
        <v>299.20416666666665</v>
      </c>
      <c r="J14" s="147">
        <f>2/24*(Gas!J$9+Gas!J$13)</f>
        <v>98.680833333333339</v>
      </c>
      <c r="K14" s="147">
        <f>2/24*(Gas!K$9+Gas!K$13)</f>
        <v>-2419.0524999999998</v>
      </c>
      <c r="L14" s="147">
        <f>2/24*(Gas!L$9+Gas!L$13)</f>
        <v>612.31333333333328</v>
      </c>
      <c r="M14" s="147">
        <f>2/24*(Gas!M$9+Gas!M$13)</f>
        <v>300.96916666666664</v>
      </c>
      <c r="N14" s="147">
        <f>2/24*(Gas!N$9+Gas!N$13)</f>
        <v>49.818595273355541</v>
      </c>
      <c r="O14" s="147">
        <f t="shared" si="0"/>
        <v>463.24859527335525</v>
      </c>
    </row>
    <row r="15" spans="1:16" x14ac:dyDescent="0.2">
      <c r="B15" s="74" t="s">
        <v>10</v>
      </c>
      <c r="C15" s="147">
        <f>Water!C17</f>
        <v>15.51</v>
      </c>
      <c r="D15" s="147">
        <f>Water!D17</f>
        <v>231.15</v>
      </c>
      <c r="E15" s="147">
        <f>Water!E17</f>
        <v>544.72</v>
      </c>
      <c r="F15" s="147">
        <f>Water!F17</f>
        <v>739.71</v>
      </c>
      <c r="G15" s="147">
        <f>Water!G17</f>
        <v>318.04000000000002</v>
      </c>
      <c r="H15" s="147">
        <f>Water!H17</f>
        <v>144.71</v>
      </c>
      <c r="I15" s="147">
        <f>Water!I17</f>
        <v>217.74</v>
      </c>
      <c r="J15" s="147">
        <f>Water!J17</f>
        <v>387.57</v>
      </c>
      <c r="K15" s="147">
        <f>Water!K17</f>
        <v>227.67</v>
      </c>
      <c r="L15" s="147">
        <f>Water!L17</f>
        <v>326.68</v>
      </c>
      <c r="M15" s="147">
        <f>Water!M17</f>
        <v>119.5</v>
      </c>
      <c r="N15" s="147">
        <f>Water!N17</f>
        <v>24.02</v>
      </c>
      <c r="O15" s="147">
        <f t="shared" si="0"/>
        <v>3297.02</v>
      </c>
    </row>
    <row r="16" spans="1:16" x14ac:dyDescent="0.2">
      <c r="B16" s="74" t="s">
        <v>11</v>
      </c>
      <c r="C16" s="147">
        <f>'Chilled Water'!C13</f>
        <v>243.11</v>
      </c>
      <c r="D16" s="147">
        <f>'Chilled Water'!D13</f>
        <v>591.45000000000005</v>
      </c>
      <c r="E16" s="147">
        <f>'Chilled Water'!E13</f>
        <v>320.74</v>
      </c>
      <c r="F16" s="147">
        <f>'Chilled Water'!F13</f>
        <v>638.13</v>
      </c>
      <c r="G16" s="147">
        <f>'Chilled Water'!G13</f>
        <v>177.09</v>
      </c>
      <c r="H16" s="149">
        <f>'Chilled Water'!H13</f>
        <v>54.83</v>
      </c>
      <c r="I16" s="147">
        <f>'Chilled Water'!I13</f>
        <v>86.23</v>
      </c>
      <c r="J16" s="149">
        <f>'Chilled Water'!J13</f>
        <v>113.39</v>
      </c>
      <c r="K16" s="149">
        <f>'Chilled Water'!K13</f>
        <v>245.95</v>
      </c>
      <c r="L16" s="149">
        <f>'Chilled Water'!L13</f>
        <v>169.39</v>
      </c>
      <c r="M16" s="149">
        <f>'Chilled Water'!M13</f>
        <v>221.15</v>
      </c>
      <c r="N16" s="149">
        <f>'Chilled Water'!N13</f>
        <v>242.18</v>
      </c>
      <c r="O16" s="147">
        <f t="shared" si="0"/>
        <v>3103.6399999999994</v>
      </c>
    </row>
    <row r="17" spans="1:17" x14ac:dyDescent="0.2">
      <c r="A17" s="74" t="s">
        <v>14</v>
      </c>
      <c r="B17" s="140" t="s">
        <v>7</v>
      </c>
      <c r="C17" s="149">
        <f>Electricity!C35</f>
        <v>461.7</v>
      </c>
      <c r="D17" s="149">
        <f>Electricity!D35</f>
        <v>579.9</v>
      </c>
      <c r="E17" s="149">
        <f>Electricity!E35</f>
        <v>1158.68</v>
      </c>
      <c r="F17" s="149">
        <f>Electricity!F35</f>
        <v>1298.92</v>
      </c>
      <c r="G17" s="149">
        <f>Electricity!G35</f>
        <v>1130.24</v>
      </c>
      <c r="H17" s="147">
        <f>Electricity!H35</f>
        <v>851.63</v>
      </c>
      <c r="I17" s="149">
        <f>Electricity!I35</f>
        <v>800.45</v>
      </c>
      <c r="J17" s="147">
        <f>Electricity!J35</f>
        <v>1002.48</v>
      </c>
      <c r="K17" s="147">
        <f>Electricity!K35</f>
        <v>1127.96</v>
      </c>
      <c r="L17" s="147">
        <f>Electricity!L35</f>
        <v>956.48</v>
      </c>
      <c r="M17" s="147">
        <f>Electricity!M35</f>
        <v>562.05999999999995</v>
      </c>
      <c r="N17" s="147">
        <f>Electricity!N35</f>
        <v>508.65</v>
      </c>
      <c r="O17" s="147">
        <f t="shared" si="0"/>
        <v>10439.149999999998</v>
      </c>
    </row>
    <row r="18" spans="1:17" x14ac:dyDescent="0.2">
      <c r="B18" s="140" t="s">
        <v>9</v>
      </c>
      <c r="C18" s="147">
        <f>2/24*(Gas!C$9+Gas!C$13)</f>
        <v>73.903333333333322</v>
      </c>
      <c r="D18" s="147">
        <f>2/24*(Gas!D$9+Gas!D$13)</f>
        <v>114.78833333333333</v>
      </c>
      <c r="E18" s="148">
        <f>2/24*(Gas!E$9+Gas!E$13)</f>
        <v>196.27916666666664</v>
      </c>
      <c r="F18" s="147">
        <f>2/24*(Gas!F$9+Gas!F$13)</f>
        <v>221.99166666666662</v>
      </c>
      <c r="G18" s="147">
        <f>2/24*(Gas!G$9+Gas!G$13)</f>
        <v>296.23916666666662</v>
      </c>
      <c r="H18" s="147">
        <f>2/24*(Gas!H$9+Gas!H$13)</f>
        <v>618.11333333333323</v>
      </c>
      <c r="I18" s="147">
        <f>2/24*(Gas!I$9+Gas!I$13)</f>
        <v>299.20416666666665</v>
      </c>
      <c r="J18" s="147">
        <f>2/24*(Gas!J$9+Gas!J$13)</f>
        <v>98.680833333333339</v>
      </c>
      <c r="K18" s="147">
        <f>2/24*(Gas!K$9+Gas!K$13)</f>
        <v>-2419.0524999999998</v>
      </c>
      <c r="L18" s="147">
        <f>2/24*(Gas!L$9+Gas!L$13)</f>
        <v>612.31333333333328</v>
      </c>
      <c r="M18" s="147">
        <f>2/24*(Gas!M$9+Gas!M$13)</f>
        <v>300.96916666666664</v>
      </c>
      <c r="N18" s="147">
        <f>2/24*(Gas!N$9+Gas!N$13)</f>
        <v>49.818595273355541</v>
      </c>
      <c r="O18" s="147">
        <f t="shared" si="0"/>
        <v>463.24859527335525</v>
      </c>
    </row>
    <row r="19" spans="1:17" x14ac:dyDescent="0.2">
      <c r="B19" s="74" t="s">
        <v>10</v>
      </c>
      <c r="C19" s="147">
        <f>Water!C20</f>
        <v>197.18</v>
      </c>
      <c r="D19" s="147">
        <f>Water!D20</f>
        <v>129.09</v>
      </c>
      <c r="E19" s="147">
        <f>Water!E20</f>
        <v>313.83999999999997</v>
      </c>
      <c r="F19" s="147">
        <f>Water!F20</f>
        <v>340.62</v>
      </c>
      <c r="G19" s="147">
        <f>Water!G20</f>
        <v>303.41000000000003</v>
      </c>
      <c r="H19" s="147">
        <f>Water!H20</f>
        <v>179.46</v>
      </c>
      <c r="I19" s="147">
        <f>Water!I20</f>
        <v>182.63</v>
      </c>
      <c r="J19" s="147">
        <f>Water!J20</f>
        <v>328.72</v>
      </c>
      <c r="K19" s="147">
        <f>Water!K20</f>
        <v>263.67</v>
      </c>
      <c r="L19" s="147">
        <f>Water!L20</f>
        <v>274.54000000000002</v>
      </c>
      <c r="M19" s="147">
        <f>Water!M20</f>
        <v>156.37</v>
      </c>
      <c r="N19" s="147">
        <f>Water!N20</f>
        <v>47.58</v>
      </c>
      <c r="O19" s="147">
        <f t="shared" si="0"/>
        <v>2717.1099999999997</v>
      </c>
    </row>
    <row r="20" spans="1:17" x14ac:dyDescent="0.2">
      <c r="B20" s="74" t="s">
        <v>11</v>
      </c>
      <c r="C20" s="147">
        <f>'Chilled Water'!C16</f>
        <v>368.61</v>
      </c>
      <c r="D20" s="147">
        <f>'Chilled Water'!D16</f>
        <v>67.13</v>
      </c>
      <c r="E20" s="147">
        <f>'Chilled Water'!E16</f>
        <v>211.39</v>
      </c>
      <c r="F20" s="147">
        <f>'Chilled Water'!F16</f>
        <v>400.01</v>
      </c>
      <c r="G20" s="147">
        <f>'Chilled Water'!G16</f>
        <v>359.2</v>
      </c>
      <c r="H20" s="147">
        <f>'Chilled Water'!H16</f>
        <v>232.5</v>
      </c>
      <c r="I20" s="147">
        <f>'Chilled Water'!I16</f>
        <v>58.65</v>
      </c>
      <c r="J20" s="147">
        <f>'Chilled Water'!J16</f>
        <v>325.39999999999998</v>
      </c>
      <c r="K20" s="147">
        <f>'Chilled Water'!K16</f>
        <v>308.66000000000003</v>
      </c>
      <c r="L20" s="147">
        <f>'Chilled Water'!L16</f>
        <v>83.06</v>
      </c>
      <c r="M20" s="147">
        <f>'Chilled Water'!M16</f>
        <v>205.23</v>
      </c>
      <c r="N20" s="147">
        <f>'Chilled Water'!N16</f>
        <v>289.7</v>
      </c>
      <c r="O20" s="147">
        <f t="shared" si="0"/>
        <v>2909.5399999999995</v>
      </c>
    </row>
    <row r="21" spans="1:17" x14ac:dyDescent="0.2">
      <c r="A21" s="74" t="s">
        <v>15</v>
      </c>
      <c r="B21" s="140" t="s">
        <v>7</v>
      </c>
      <c r="C21" s="147">
        <f>Electricity!C32</f>
        <v>378.19</v>
      </c>
      <c r="D21" s="147">
        <f>Electricity!D32</f>
        <v>657.07</v>
      </c>
      <c r="E21" s="147">
        <f>Electricity!E32</f>
        <v>915.68</v>
      </c>
      <c r="F21" s="147">
        <f>Electricity!F32</f>
        <v>964.79</v>
      </c>
      <c r="G21" s="147">
        <f>Electricity!G32</f>
        <v>746.92</v>
      </c>
      <c r="H21" s="147">
        <f>Electricity!H32</f>
        <v>563.30999999999995</v>
      </c>
      <c r="I21" s="147">
        <f>Electricity!I32</f>
        <v>494.93</v>
      </c>
      <c r="J21" s="147">
        <f>Electricity!J32</f>
        <v>703.34</v>
      </c>
      <c r="K21" s="147">
        <f>Electricity!K32</f>
        <v>809.02</v>
      </c>
      <c r="L21" s="147">
        <f>Electricity!L32</f>
        <v>750.64</v>
      </c>
      <c r="M21" s="147">
        <f>Electricity!M32</f>
        <v>465.13</v>
      </c>
      <c r="N21" s="147">
        <f>Electricity!N32</f>
        <v>344.36</v>
      </c>
      <c r="O21" s="147">
        <f t="shared" si="0"/>
        <v>7793.38</v>
      </c>
    </row>
    <row r="22" spans="1:17" x14ac:dyDescent="0.2">
      <c r="B22" s="140" t="s">
        <v>9</v>
      </c>
      <c r="C22" s="147">
        <f>2/24*(Gas!C$9+Gas!C$13)</f>
        <v>73.903333333333322</v>
      </c>
      <c r="D22" s="147">
        <f>2/24*(Gas!D$9+Gas!D$13)</f>
        <v>114.78833333333333</v>
      </c>
      <c r="E22" s="148">
        <f>2/24*(Gas!E$9+Gas!E$13)</f>
        <v>196.27916666666664</v>
      </c>
      <c r="F22" s="147">
        <f>2/24*(Gas!F$9+Gas!F$13)</f>
        <v>221.99166666666662</v>
      </c>
      <c r="G22" s="147">
        <f>2/24*(Gas!G$9+Gas!G$13)</f>
        <v>296.23916666666662</v>
      </c>
      <c r="H22" s="147">
        <f>2/24*(Gas!H$9+Gas!H$13)</f>
        <v>618.11333333333323</v>
      </c>
      <c r="I22" s="147">
        <f>2/24*(Gas!I$9+Gas!I$13)</f>
        <v>299.20416666666665</v>
      </c>
      <c r="J22" s="147">
        <f>2/24*(Gas!J$9+Gas!J$13)</f>
        <v>98.680833333333339</v>
      </c>
      <c r="K22" s="147">
        <f>2/24*(Gas!K$9+Gas!K$13)</f>
        <v>-2419.0524999999998</v>
      </c>
      <c r="L22" s="147">
        <f>2/24*(Gas!L$9+Gas!L$13)</f>
        <v>612.31333333333328</v>
      </c>
      <c r="M22" s="147">
        <f>2/24*(Gas!M$9+Gas!M$13)</f>
        <v>300.96916666666664</v>
      </c>
      <c r="N22" s="147">
        <f>2/24*(Gas!N$9+Gas!N$13)</f>
        <v>49.818595273355541</v>
      </c>
      <c r="O22" s="147">
        <f t="shared" si="0"/>
        <v>463.24859527335525</v>
      </c>
    </row>
    <row r="23" spans="1:17" x14ac:dyDescent="0.2">
      <c r="B23" s="74" t="s">
        <v>10</v>
      </c>
      <c r="C23" s="147">
        <f>Water!C24</f>
        <v>197.18</v>
      </c>
      <c r="D23" s="147">
        <f>Water!D24</f>
        <v>129.09</v>
      </c>
      <c r="E23" s="147">
        <f>Water!E24</f>
        <v>313.83999999999997</v>
      </c>
      <c r="F23" s="147">
        <f>Water!F24</f>
        <v>340.62</v>
      </c>
      <c r="G23" s="147">
        <f>Water!G24</f>
        <v>303.41000000000003</v>
      </c>
      <c r="H23" s="147">
        <f>Water!H24</f>
        <v>179.46</v>
      </c>
      <c r="I23" s="147">
        <f>Water!I24</f>
        <v>182.63</v>
      </c>
      <c r="J23" s="147">
        <f>Water!J24</f>
        <v>328.72</v>
      </c>
      <c r="K23" s="147">
        <f>Water!K24</f>
        <v>263.67</v>
      </c>
      <c r="L23" s="147">
        <f>Water!L24</f>
        <v>274.54000000000002</v>
      </c>
      <c r="M23" s="147">
        <f>Water!M24</f>
        <v>156.37</v>
      </c>
      <c r="N23" s="147">
        <f>Water!N24</f>
        <v>47.58</v>
      </c>
      <c r="O23" s="147">
        <f t="shared" si="0"/>
        <v>2717.1099999999997</v>
      </c>
    </row>
    <row r="24" spans="1:17" x14ac:dyDescent="0.2">
      <c r="B24" s="74" t="s">
        <v>11</v>
      </c>
      <c r="C24" s="147">
        <f>'Chilled Water'!C19</f>
        <v>481.79</v>
      </c>
      <c r="D24" s="147">
        <f>'Chilled Water'!D19</f>
        <v>639.5</v>
      </c>
      <c r="E24" s="147">
        <f>'Chilled Water'!E19</f>
        <v>602.63</v>
      </c>
      <c r="F24" s="147">
        <f>'Chilled Water'!F19</f>
        <v>309.77999999999997</v>
      </c>
      <c r="G24" s="147">
        <f>'Chilled Water'!G19</f>
        <v>184.12</v>
      </c>
      <c r="H24" s="147">
        <f>'Chilled Water'!H19</f>
        <v>168.02</v>
      </c>
      <c r="I24" s="147">
        <f>'Chilled Water'!I19</f>
        <v>54.16</v>
      </c>
      <c r="J24" s="147">
        <f>'Chilled Water'!J19</f>
        <v>125.98</v>
      </c>
      <c r="K24" s="147">
        <f>'Chilled Water'!K19</f>
        <v>214.61</v>
      </c>
      <c r="L24" s="147">
        <f>'Chilled Water'!L19</f>
        <v>112.32</v>
      </c>
      <c r="M24" s="147">
        <f>'Chilled Water'!M19</f>
        <v>250.13</v>
      </c>
      <c r="N24" s="147">
        <f>'Chilled Water'!N19</f>
        <v>516.33000000000004</v>
      </c>
      <c r="O24" s="147">
        <f t="shared" si="0"/>
        <v>3659.3700000000003</v>
      </c>
      <c r="Q24" s="74" t="s">
        <v>16</v>
      </c>
    </row>
    <row r="25" spans="1:17" x14ac:dyDescent="0.2">
      <c r="A25" s="74" t="s">
        <v>17</v>
      </c>
      <c r="B25" s="140" t="s">
        <v>7</v>
      </c>
      <c r="C25" s="147">
        <f>Electricity!C26</f>
        <v>243.93</v>
      </c>
      <c r="D25" s="147">
        <f>Electricity!D26</f>
        <v>366.41</v>
      </c>
      <c r="E25" s="147">
        <f>Electricity!E26</f>
        <v>434.71</v>
      </c>
      <c r="F25" s="147">
        <f>Electricity!F26</f>
        <v>472.09</v>
      </c>
      <c r="G25" s="147">
        <f>Electricity!G26</f>
        <v>403.88</v>
      </c>
      <c r="H25" s="147">
        <f>Electricity!H26</f>
        <v>324.77</v>
      </c>
      <c r="I25" s="147">
        <f>Electricity!I26</f>
        <v>288.20999999999998</v>
      </c>
      <c r="J25" s="147">
        <f>Electricity!J26</f>
        <v>403.09</v>
      </c>
      <c r="K25" s="147">
        <f>Electricity!K26</f>
        <v>429.8</v>
      </c>
      <c r="L25" s="147">
        <f>Electricity!L26</f>
        <v>391.81</v>
      </c>
      <c r="M25" s="147">
        <f>Electricity!M26</f>
        <v>313.31</v>
      </c>
      <c r="N25" s="147">
        <f>Electricity!N26</f>
        <v>169.82</v>
      </c>
      <c r="O25" s="147">
        <f t="shared" si="0"/>
        <v>4241.83</v>
      </c>
    </row>
    <row r="26" spans="1:17" x14ac:dyDescent="0.2">
      <c r="B26" s="140" t="s">
        <v>9</v>
      </c>
      <c r="C26" s="147">
        <f>1/24*(Gas!C$9+Gas!C$13)</f>
        <v>36.951666666666661</v>
      </c>
      <c r="D26" s="147">
        <f>1/24*(Gas!D$9+Gas!D$13)</f>
        <v>57.394166666666663</v>
      </c>
      <c r="E26" s="148">
        <f>1/24*(Gas!E$9+Gas!E$13)</f>
        <v>98.13958333333332</v>
      </c>
      <c r="F26" s="147">
        <f>1/24*(Gas!F$9+Gas!F$13)</f>
        <v>110.99583333333331</v>
      </c>
      <c r="G26" s="147">
        <f>1/24*(Gas!G$9+Gas!G$13)</f>
        <v>148.11958333333331</v>
      </c>
      <c r="H26" s="147">
        <f>1/24*(Gas!H$9+Gas!H$13)</f>
        <v>309.05666666666662</v>
      </c>
      <c r="I26" s="147">
        <f>1/24*(Gas!I$9+Gas!I$13)</f>
        <v>149.60208333333333</v>
      </c>
      <c r="J26" s="147">
        <f>1/24*(Gas!J$9+Gas!J$13)</f>
        <v>49.34041666666667</v>
      </c>
      <c r="K26" s="147">
        <f>1/24*(Gas!K$9+Gas!K$13)</f>
        <v>-1209.5262499999999</v>
      </c>
      <c r="L26" s="147">
        <f>1/24*(Gas!L$9+Gas!L$13)</f>
        <v>306.15666666666664</v>
      </c>
      <c r="M26" s="147">
        <f>1/24*(Gas!M$9+Gas!M$13)</f>
        <v>150.48458333333332</v>
      </c>
      <c r="N26" s="147">
        <f>1/24*(Gas!N$9+Gas!N$13)</f>
        <v>24.909297636677771</v>
      </c>
      <c r="O26" s="147">
        <f t="shared" si="0"/>
        <v>231.62429763667762</v>
      </c>
    </row>
    <row r="27" spans="1:17" x14ac:dyDescent="0.2">
      <c r="B27" s="74" t="s">
        <v>10</v>
      </c>
      <c r="C27" s="147">
        <f>Water!C28</f>
        <v>197.18</v>
      </c>
      <c r="D27" s="147">
        <f>Water!D28</f>
        <v>129.09</v>
      </c>
      <c r="E27" s="147">
        <f>Water!E28</f>
        <v>313.83999999999997</v>
      </c>
      <c r="F27" s="147">
        <f>Water!F28</f>
        <v>340.62</v>
      </c>
      <c r="G27" s="147">
        <f>Water!G28</f>
        <v>303.41000000000003</v>
      </c>
      <c r="H27" s="147">
        <f>Water!H28</f>
        <v>179.46</v>
      </c>
      <c r="I27" s="147">
        <f>Water!I28</f>
        <v>182.63</v>
      </c>
      <c r="J27" s="147">
        <f>Water!J28</f>
        <v>328.72</v>
      </c>
      <c r="K27" s="147">
        <f>Water!K28</f>
        <v>263.67</v>
      </c>
      <c r="L27" s="147">
        <f>Water!L28</f>
        <v>274.54000000000002</v>
      </c>
      <c r="M27" s="147">
        <f>Water!M28</f>
        <v>156.37</v>
      </c>
      <c r="N27" s="147">
        <f>Water!N28</f>
        <v>47.58</v>
      </c>
      <c r="O27" s="147">
        <f t="shared" si="0"/>
        <v>2717.1099999999997</v>
      </c>
    </row>
    <row r="28" spans="1:17" x14ac:dyDescent="0.2">
      <c r="B28" s="74" t="s">
        <v>11</v>
      </c>
      <c r="C28" s="147">
        <f>'Chilled Water'!C22</f>
        <v>182.26</v>
      </c>
      <c r="D28" s="147">
        <f>'Chilled Water'!D22</f>
        <v>284.58999999999997</v>
      </c>
      <c r="E28" s="147">
        <f>'Chilled Water'!E22</f>
        <v>346.42</v>
      </c>
      <c r="F28" s="147">
        <f>'Chilled Water'!F22</f>
        <v>196.11</v>
      </c>
      <c r="G28" s="147">
        <f>'Chilled Water'!G22</f>
        <v>113.95</v>
      </c>
      <c r="H28" s="147">
        <f>'Chilled Water'!H22</f>
        <v>67.55</v>
      </c>
      <c r="I28" s="147">
        <f>'Chilled Water'!I22</f>
        <v>29.55</v>
      </c>
      <c r="J28" s="147">
        <f>'Chilled Water'!J22</f>
        <v>103.12</v>
      </c>
      <c r="K28" s="147">
        <f>'Chilled Water'!K22</f>
        <v>100.8</v>
      </c>
      <c r="L28" s="147">
        <f>'Chilled Water'!L22</f>
        <v>87.8</v>
      </c>
      <c r="M28" s="147">
        <f>'Chilled Water'!M22</f>
        <v>165.26</v>
      </c>
      <c r="N28" s="147">
        <f>'Chilled Water'!N22</f>
        <v>152.59</v>
      </c>
      <c r="O28" s="147">
        <f t="shared" si="0"/>
        <v>1829.9999999999995</v>
      </c>
    </row>
    <row r="29" spans="1:17" x14ac:dyDescent="0.2">
      <c r="A29" s="74" t="s">
        <v>18</v>
      </c>
      <c r="B29" s="140" t="s">
        <v>7</v>
      </c>
      <c r="C29" s="147">
        <f>Electricity!C44</f>
        <v>445.94</v>
      </c>
      <c r="D29" s="147">
        <f>Electricity!D44</f>
        <v>621.23</v>
      </c>
      <c r="E29" s="147">
        <f>Electricity!E44</f>
        <v>911.06</v>
      </c>
      <c r="F29" s="147">
        <f>Electricity!F44</f>
        <v>925.73</v>
      </c>
      <c r="G29" s="147">
        <f>Electricity!G44</f>
        <v>834.96</v>
      </c>
      <c r="H29" s="147">
        <f>Electricity!H44</f>
        <v>665.69</v>
      </c>
      <c r="I29" s="147">
        <f>Electricity!I44</f>
        <v>701.94</v>
      </c>
      <c r="J29" s="147">
        <f>Electricity!J44</f>
        <v>794.3</v>
      </c>
      <c r="K29" s="147">
        <f>Electricity!K44</f>
        <v>867.1</v>
      </c>
      <c r="L29" s="147">
        <f>Electricity!L44</f>
        <v>776.53</v>
      </c>
      <c r="M29" s="147">
        <f>Electricity!M44</f>
        <v>548.91999999999996</v>
      </c>
      <c r="N29" s="147">
        <f>Electricity!N44</f>
        <v>456.43</v>
      </c>
      <c r="O29" s="147">
        <f t="shared" si="0"/>
        <v>8549.8300000000017</v>
      </c>
    </row>
    <row r="30" spans="1:17" x14ac:dyDescent="0.2">
      <c r="A30" s="74" t="s">
        <v>19</v>
      </c>
      <c r="B30" s="140" t="s">
        <v>9</v>
      </c>
      <c r="C30" s="147">
        <f>2/24*(Gas!C$9+Gas!C$13)</f>
        <v>73.903333333333322</v>
      </c>
      <c r="D30" s="147">
        <f>2/24*(Gas!D$9+Gas!D$13)</f>
        <v>114.78833333333333</v>
      </c>
      <c r="E30" s="148">
        <f>2/24*(Gas!E$9+Gas!E$13)</f>
        <v>196.27916666666664</v>
      </c>
      <c r="F30" s="147">
        <f>2/24*(Gas!F$9+Gas!F$13)</f>
        <v>221.99166666666662</v>
      </c>
      <c r="G30" s="147">
        <f>2/24*(Gas!G$9+Gas!G$13)</f>
        <v>296.23916666666662</v>
      </c>
      <c r="H30" s="147">
        <f>2/24*(Gas!H$9+Gas!H$13)</f>
        <v>618.11333333333323</v>
      </c>
      <c r="I30" s="147">
        <f>2/24*(Gas!I$9+Gas!I$13)</f>
        <v>299.20416666666665</v>
      </c>
      <c r="J30" s="147">
        <f>2/24*(Gas!J$9+Gas!J$13)</f>
        <v>98.680833333333339</v>
      </c>
      <c r="K30" s="147">
        <f>2/24*(Gas!K$9+Gas!K$13)</f>
        <v>-2419.0524999999998</v>
      </c>
      <c r="L30" s="147">
        <f>2/24*(Gas!L$9+Gas!L$13)</f>
        <v>612.31333333333328</v>
      </c>
      <c r="M30" s="147">
        <f>2/24*(Gas!M$9+Gas!M$13)</f>
        <v>300.96916666666664</v>
      </c>
      <c r="N30" s="147">
        <f>2/24*(Gas!N$9+Gas!N$13)</f>
        <v>49.818595273355541</v>
      </c>
      <c r="O30" s="147">
        <f t="shared" si="0"/>
        <v>463.24859527335525</v>
      </c>
    </row>
    <row r="31" spans="1:17" x14ac:dyDescent="0.2">
      <c r="B31" s="74" t="s">
        <v>10</v>
      </c>
      <c r="C31" s="147">
        <f>Water!C32</f>
        <v>197.18</v>
      </c>
      <c r="D31" s="147">
        <f>Water!D32</f>
        <v>129.09</v>
      </c>
      <c r="E31" s="147">
        <f>Water!E32</f>
        <v>313.83999999999997</v>
      </c>
      <c r="F31" s="147">
        <f>Water!F32</f>
        <v>340.62</v>
      </c>
      <c r="G31" s="147">
        <f>Water!G32</f>
        <v>303.41000000000003</v>
      </c>
      <c r="H31" s="147">
        <f>Water!H32</f>
        <v>179.46</v>
      </c>
      <c r="I31" s="147">
        <f>Water!I32</f>
        <v>182.63</v>
      </c>
      <c r="J31" s="147">
        <f>Water!J32</f>
        <v>328.72</v>
      </c>
      <c r="K31" s="147">
        <f>Water!K32</f>
        <v>263.67</v>
      </c>
      <c r="L31" s="147">
        <f>Water!L32</f>
        <v>274.54000000000002</v>
      </c>
      <c r="M31" s="147">
        <f>Water!M32</f>
        <v>156.37</v>
      </c>
      <c r="N31" s="147">
        <f>Water!N32</f>
        <v>47.58</v>
      </c>
      <c r="O31" s="147">
        <f t="shared" si="0"/>
        <v>2717.1099999999997</v>
      </c>
    </row>
    <row r="32" spans="1:17" x14ac:dyDescent="0.2">
      <c r="B32" s="74" t="s">
        <v>11</v>
      </c>
      <c r="C32" s="147">
        <f>'Chilled Water'!C25</f>
        <v>2881.65</v>
      </c>
      <c r="D32" s="147">
        <f>'Chilled Water'!D25</f>
        <v>2971.44</v>
      </c>
      <c r="E32" s="147">
        <f>'Chilled Water'!E25</f>
        <v>2653.03</v>
      </c>
      <c r="F32" s="147">
        <f>'Chilled Water'!F25</f>
        <v>2218.8000000000002</v>
      </c>
      <c r="G32" s="147">
        <f>'Chilled Water'!G25</f>
        <v>2094.38</v>
      </c>
      <c r="H32" s="147">
        <f>'Chilled Water'!H25</f>
        <v>139.62</v>
      </c>
      <c r="I32" s="147">
        <f>'Chilled Water'!I25</f>
        <v>353.3</v>
      </c>
      <c r="J32" s="147">
        <f>'Chilled Water'!J25</f>
        <v>66.53</v>
      </c>
      <c r="K32" s="147">
        <f>'Chilled Water'!K25</f>
        <v>120.36</v>
      </c>
      <c r="L32" s="147">
        <f>'Chilled Water'!L25</f>
        <v>683.69</v>
      </c>
      <c r="M32" s="147">
        <f>'Chilled Water'!M25</f>
        <v>1048.8399999999999</v>
      </c>
      <c r="N32" s="147">
        <f>'Chilled Water'!N25</f>
        <v>1258.79</v>
      </c>
      <c r="O32" s="147">
        <f t="shared" si="0"/>
        <v>16490.430000000004</v>
      </c>
    </row>
    <row r="33" spans="1:15" x14ac:dyDescent="0.2">
      <c r="A33" s="74" t="s">
        <v>20</v>
      </c>
      <c r="B33" s="140" t="s">
        <v>7</v>
      </c>
      <c r="C33" s="147">
        <f>Electricity!C41</f>
        <v>183.23</v>
      </c>
      <c r="D33" s="147">
        <f>Electricity!D41</f>
        <v>360.23</v>
      </c>
      <c r="E33" s="147">
        <f>Electricity!E41</f>
        <v>536.44000000000005</v>
      </c>
      <c r="F33" s="147">
        <f>Electricity!F41</f>
        <v>552.12</v>
      </c>
      <c r="G33" s="147">
        <f>Electricity!G41</f>
        <v>464.98</v>
      </c>
      <c r="H33" s="147">
        <f>Electricity!H41</f>
        <v>339.29</v>
      </c>
      <c r="I33" s="147">
        <f>Electricity!I41</f>
        <v>282.05</v>
      </c>
      <c r="J33" s="147">
        <f>Electricity!J41</f>
        <v>452.58</v>
      </c>
      <c r="K33" s="147">
        <f>Electricity!K41</f>
        <v>502.69</v>
      </c>
      <c r="L33" s="147">
        <f>Electricity!L41</f>
        <v>502.69</v>
      </c>
      <c r="M33" s="147">
        <f>Electricity!M41</f>
        <v>502.69</v>
      </c>
      <c r="N33" s="147">
        <f>Electricity!N41</f>
        <v>502.69</v>
      </c>
      <c r="O33" s="147">
        <f t="shared" si="0"/>
        <v>5181.6799999999994</v>
      </c>
    </row>
    <row r="34" spans="1:15" x14ac:dyDescent="0.2">
      <c r="A34" s="74" t="s">
        <v>19</v>
      </c>
      <c r="B34" s="140" t="s">
        <v>9</v>
      </c>
      <c r="C34" s="147">
        <f>1/24*(Gas!C$9+Gas!C$13)</f>
        <v>36.951666666666661</v>
      </c>
      <c r="D34" s="147">
        <f>1/24*(Gas!D$9+Gas!D$13)</f>
        <v>57.394166666666663</v>
      </c>
      <c r="E34" s="148">
        <f>1/24*(Gas!E$9+Gas!E$13)</f>
        <v>98.13958333333332</v>
      </c>
      <c r="F34" s="147">
        <f>1/24*(Gas!F$9+Gas!F$13)</f>
        <v>110.99583333333331</v>
      </c>
      <c r="G34" s="147">
        <f>1/24*(Gas!G$9+Gas!G$13)</f>
        <v>148.11958333333331</v>
      </c>
      <c r="H34" s="149">
        <f>1/24*(Gas!H$9+Gas!H$13)</f>
        <v>309.05666666666662</v>
      </c>
      <c r="I34" s="147">
        <f>1/24*(Gas!I$9+Gas!I$13)</f>
        <v>149.60208333333333</v>
      </c>
      <c r="J34" s="149">
        <f>1/24*(Gas!J$9+Gas!J$13)</f>
        <v>49.34041666666667</v>
      </c>
      <c r="K34" s="149">
        <f>1/24*(Gas!K$9+Gas!K$13)</f>
        <v>-1209.5262499999999</v>
      </c>
      <c r="L34" s="149">
        <f>1/24*(Gas!L$9+Gas!L$13)</f>
        <v>306.15666666666664</v>
      </c>
      <c r="M34" s="149">
        <f>1/24*(Gas!M$9+Gas!M$13)</f>
        <v>150.48458333333332</v>
      </c>
      <c r="N34" s="149">
        <f>1/24*(Gas!N$9+Gas!N$13)</f>
        <v>24.909297636677771</v>
      </c>
      <c r="O34" s="147">
        <f t="shared" ref="O34:O44" si="1">TRUNC(SUM(C34:N34),2)</f>
        <v>231.62</v>
      </c>
    </row>
    <row r="35" spans="1:15" x14ac:dyDescent="0.2">
      <c r="B35" s="74" t="s">
        <v>10</v>
      </c>
      <c r="C35" s="149">
        <f>Water!C36</f>
        <v>58.32</v>
      </c>
      <c r="D35" s="149">
        <f>Water!D36</f>
        <v>113.4</v>
      </c>
      <c r="E35" s="149">
        <f>Water!E36</f>
        <v>191.13</v>
      </c>
      <c r="F35" s="149">
        <f>Water!F36</f>
        <v>190.25</v>
      </c>
      <c r="G35" s="149">
        <f>Water!G36</f>
        <v>169.17</v>
      </c>
      <c r="H35" s="147">
        <f>Water!H36</f>
        <v>90.06</v>
      </c>
      <c r="I35" s="149">
        <f>Water!I36</f>
        <v>89.7</v>
      </c>
      <c r="J35" s="147">
        <f>Water!J36</f>
        <v>180.97</v>
      </c>
      <c r="K35" s="147">
        <f>Water!K36</f>
        <v>156.52000000000001</v>
      </c>
      <c r="L35" s="147">
        <f>Water!L36</f>
        <v>167.53</v>
      </c>
      <c r="M35" s="147">
        <f>Water!M36</f>
        <v>77.260000000000005</v>
      </c>
      <c r="N35" s="147">
        <f>Water!N36</f>
        <v>8.0399999999999991</v>
      </c>
      <c r="O35" s="147">
        <f t="shared" si="1"/>
        <v>1492.35</v>
      </c>
    </row>
    <row r="36" spans="1:15" x14ac:dyDescent="0.2">
      <c r="B36" s="74" t="s">
        <v>11</v>
      </c>
      <c r="C36" s="147">
        <f>'Chilled Water'!C28</f>
        <v>259.99</v>
      </c>
      <c r="D36" s="147">
        <f>'Chilled Water'!D28</f>
        <v>625.88</v>
      </c>
      <c r="E36" s="147">
        <f>'Chilled Water'!E28</f>
        <v>381.47</v>
      </c>
      <c r="F36" s="147">
        <f>'Chilled Water'!F28</f>
        <v>242.64</v>
      </c>
      <c r="G36" s="147">
        <f>'Chilled Water'!G28</f>
        <v>199.76</v>
      </c>
      <c r="H36" s="147">
        <f>'Chilled Water'!H28</f>
        <v>111.92</v>
      </c>
      <c r="I36" s="147">
        <f>'Chilled Water'!I28</f>
        <v>35</v>
      </c>
      <c r="J36" s="147">
        <f>'Chilled Water'!J28</f>
        <v>376.63</v>
      </c>
      <c r="K36" s="147">
        <f>'Chilled Water'!K28</f>
        <v>96.47</v>
      </c>
      <c r="L36" s="147">
        <f>'Chilled Water'!L28</f>
        <v>153.69</v>
      </c>
      <c r="M36" s="147">
        <f>'Chilled Water'!M28</f>
        <v>139.26</v>
      </c>
      <c r="N36" s="147">
        <f>'Chilled Water'!N28</f>
        <v>251.27</v>
      </c>
      <c r="O36" s="147">
        <f t="shared" si="1"/>
        <v>2873.98</v>
      </c>
    </row>
    <row r="37" spans="1:15" x14ac:dyDescent="0.2">
      <c r="A37" s="74" t="s">
        <v>21</v>
      </c>
      <c r="B37" s="140" t="s">
        <v>7</v>
      </c>
      <c r="C37" s="147">
        <f>Electricity!C38</f>
        <v>463.96</v>
      </c>
      <c r="D37" s="147">
        <f>Electricity!D38</f>
        <v>641.58000000000004</v>
      </c>
      <c r="E37" s="147">
        <f>Electricity!E38</f>
        <v>902.16</v>
      </c>
      <c r="F37" s="147">
        <f>Electricity!F38</f>
        <v>898.97</v>
      </c>
      <c r="G37" s="147">
        <f>Electricity!G38</f>
        <v>782.75</v>
      </c>
      <c r="H37" s="147">
        <f>Electricity!H38</f>
        <v>602.13</v>
      </c>
      <c r="I37" s="147">
        <f>Electricity!I38</f>
        <v>528.47</v>
      </c>
      <c r="J37" s="147">
        <f>Electricity!J38</f>
        <v>752.27</v>
      </c>
      <c r="K37" s="147">
        <f>Electricity!K38</f>
        <v>863.92</v>
      </c>
      <c r="L37" s="147">
        <f>Electricity!L38</f>
        <v>840.83</v>
      </c>
      <c r="M37" s="147">
        <f>Electricity!M38</f>
        <v>519.01</v>
      </c>
      <c r="N37" s="147">
        <f>Electricity!N38</f>
        <v>333.09</v>
      </c>
      <c r="O37" s="147">
        <f t="shared" si="1"/>
        <v>8129.14</v>
      </c>
    </row>
    <row r="38" spans="1:15" x14ac:dyDescent="0.2">
      <c r="B38" s="140" t="s">
        <v>9</v>
      </c>
      <c r="C38" s="147">
        <f>2/24*(Gas!C$9+Gas!C$13)</f>
        <v>73.903333333333322</v>
      </c>
      <c r="D38" s="147">
        <f>2/24*(Gas!D$9+Gas!D$13)</f>
        <v>114.78833333333333</v>
      </c>
      <c r="E38" s="148">
        <f>2/24*(Gas!E$9+Gas!E$13)</f>
        <v>196.27916666666664</v>
      </c>
      <c r="F38" s="147">
        <f>2/24*(Gas!F$9+Gas!F$13)</f>
        <v>221.99166666666662</v>
      </c>
      <c r="G38" s="147">
        <f>2/24*(Gas!G$9+Gas!G$13)</f>
        <v>296.23916666666662</v>
      </c>
      <c r="H38" s="147">
        <f>2/24*(Gas!H$9+Gas!H$13)</f>
        <v>618.11333333333323</v>
      </c>
      <c r="I38" s="147">
        <f>2/24*(Gas!I$9+Gas!I$13)</f>
        <v>299.20416666666665</v>
      </c>
      <c r="J38" s="147">
        <f>2/24*(Gas!J$9+Gas!J$13)</f>
        <v>98.680833333333339</v>
      </c>
      <c r="K38" s="147">
        <f>2/24*(Gas!K$9+Gas!K$13)</f>
        <v>-2419.0524999999998</v>
      </c>
      <c r="L38" s="147">
        <f>2/24*(Gas!L$9+Gas!L$13)</f>
        <v>612.31333333333328</v>
      </c>
      <c r="M38" s="147">
        <f>2/24*(Gas!M$9+Gas!M$13)</f>
        <v>300.96916666666664</v>
      </c>
      <c r="N38" s="147">
        <f>2/24*(Gas!N$9+Gas!N$13)</f>
        <v>49.818595273355541</v>
      </c>
      <c r="O38" s="147">
        <f t="shared" si="1"/>
        <v>463.24</v>
      </c>
    </row>
    <row r="39" spans="1:15" x14ac:dyDescent="0.2">
      <c r="B39" s="74" t="s">
        <v>10</v>
      </c>
      <c r="C39" s="147">
        <f>Water!C39</f>
        <v>19.8</v>
      </c>
      <c r="D39" s="147">
        <f>Water!D39</f>
        <v>157.13</v>
      </c>
      <c r="E39" s="147">
        <f>Water!E39</f>
        <v>374.96</v>
      </c>
      <c r="F39" s="147">
        <f>Water!F39</f>
        <v>301.87</v>
      </c>
      <c r="G39" s="147">
        <f>Water!G39</f>
        <v>258.14999999999998</v>
      </c>
      <c r="H39" s="147">
        <f>Water!H39</f>
        <v>141.9</v>
      </c>
      <c r="I39" s="147">
        <f>Water!I39</f>
        <v>143.74</v>
      </c>
      <c r="J39" s="147">
        <f>Water!J39</f>
        <v>288.10000000000002</v>
      </c>
      <c r="K39" s="147">
        <f>Water!K39</f>
        <v>355.06</v>
      </c>
      <c r="L39" s="147">
        <f>Water!L39</f>
        <v>360.35</v>
      </c>
      <c r="M39" s="147">
        <f>Water!M39</f>
        <v>206.35</v>
      </c>
      <c r="N39" s="147">
        <f>Water!N39</f>
        <v>129.88</v>
      </c>
      <c r="O39" s="147">
        <f t="shared" si="1"/>
        <v>2737.29</v>
      </c>
    </row>
    <row r="40" spans="1:15" x14ac:dyDescent="0.2">
      <c r="B40" s="74" t="s">
        <v>11</v>
      </c>
      <c r="C40" s="147">
        <f>'Chilled Water'!C31</f>
        <v>538.97</v>
      </c>
      <c r="D40" s="147">
        <f>'Chilled Water'!D31</f>
        <v>629.79999999999995</v>
      </c>
      <c r="E40" s="147">
        <f>'Chilled Water'!E31</f>
        <v>676.72</v>
      </c>
      <c r="F40" s="147">
        <f>'Chilled Water'!F31</f>
        <v>362.71</v>
      </c>
      <c r="G40" s="147">
        <f>'Chilled Water'!G31</f>
        <v>229.54</v>
      </c>
      <c r="H40" s="147">
        <f>'Chilled Water'!H31</f>
        <v>250.28</v>
      </c>
      <c r="I40" s="147">
        <f>'Chilled Water'!I31</f>
        <v>77.97</v>
      </c>
      <c r="J40" s="147">
        <f>'Chilled Water'!J31</f>
        <v>161.86000000000001</v>
      </c>
      <c r="K40" s="147">
        <f>'Chilled Water'!K31</f>
        <v>317.45</v>
      </c>
      <c r="L40" s="147">
        <f>'Chilled Water'!L31</f>
        <v>388.12</v>
      </c>
      <c r="M40" s="147">
        <f>'Chilled Water'!M31</f>
        <v>369.27</v>
      </c>
      <c r="N40" s="147">
        <f>'Chilled Water'!N31</f>
        <v>591.09</v>
      </c>
      <c r="O40" s="147">
        <f t="shared" si="1"/>
        <v>4593.78</v>
      </c>
    </row>
    <row r="41" spans="1:15" x14ac:dyDescent="0.2">
      <c r="A41" s="74" t="s">
        <v>22</v>
      </c>
      <c r="B41" s="140" t="s">
        <v>7</v>
      </c>
      <c r="C41" s="147">
        <f>Electricity!C19</f>
        <v>637.54999999999995</v>
      </c>
      <c r="D41" s="147">
        <f>Electricity!D19</f>
        <v>835.61</v>
      </c>
      <c r="E41" s="147">
        <f>Electricity!E19</f>
        <v>1054.57</v>
      </c>
      <c r="F41" s="147">
        <f>Electricity!F19</f>
        <v>1105.03</v>
      </c>
      <c r="G41" s="147">
        <f>Electricity!G19</f>
        <v>925.25</v>
      </c>
      <c r="H41" s="147">
        <f>Electricity!H19</f>
        <v>703.47</v>
      </c>
      <c r="I41" s="147">
        <f>Electricity!I19</f>
        <v>673.4</v>
      </c>
      <c r="J41" s="147">
        <f>Electricity!J19</f>
        <v>895.21</v>
      </c>
      <c r="K41" s="147">
        <f>Electricity!K19</f>
        <v>812.43</v>
      </c>
      <c r="L41" s="147">
        <f>Electricity!L19</f>
        <v>825.38</v>
      </c>
      <c r="M41" s="147">
        <f>Electricity!M19</f>
        <v>575.07000000000005</v>
      </c>
      <c r="N41" s="147">
        <f>Electricity!N19</f>
        <v>396.87</v>
      </c>
      <c r="O41" s="147">
        <f t="shared" si="1"/>
        <v>9439.84</v>
      </c>
    </row>
    <row r="42" spans="1:15" x14ac:dyDescent="0.2">
      <c r="A42" s="74" t="s">
        <v>19</v>
      </c>
      <c r="B42" s="140" t="s">
        <v>9</v>
      </c>
      <c r="C42" s="147">
        <f>2/24*(Gas!C$9+Gas!C$13)</f>
        <v>73.903333333333322</v>
      </c>
      <c r="D42" s="147">
        <f>2/24*(Gas!D$9+Gas!D$13)</f>
        <v>114.78833333333333</v>
      </c>
      <c r="E42" s="148">
        <f>2/24*(Gas!E$9+Gas!E$13)</f>
        <v>196.27916666666664</v>
      </c>
      <c r="F42" s="147">
        <f>2/24*(Gas!F$9+Gas!F$13)</f>
        <v>221.99166666666662</v>
      </c>
      <c r="G42" s="147">
        <f>2/24*(Gas!G$9+Gas!G$13)</f>
        <v>296.23916666666662</v>
      </c>
      <c r="H42" s="147">
        <f>2/24*(Gas!H$9+Gas!H$13)</f>
        <v>618.11333333333323</v>
      </c>
      <c r="I42" s="147">
        <f>2/24*(Gas!I$9+Gas!I$13)</f>
        <v>299.20416666666665</v>
      </c>
      <c r="J42" s="147">
        <f>2/24*(Gas!J$9+Gas!J$13)</f>
        <v>98.680833333333339</v>
      </c>
      <c r="K42" s="147">
        <f>2/24*(Gas!K$9+Gas!K$13)</f>
        <v>-2419.0524999999998</v>
      </c>
      <c r="L42" s="147">
        <f>2/24*(Gas!L$9+Gas!L$13)</f>
        <v>612.31333333333328</v>
      </c>
      <c r="M42" s="147">
        <f>2/24*(Gas!M$9+Gas!M$13)</f>
        <v>300.96916666666664</v>
      </c>
      <c r="N42" s="147">
        <f>2/24*(Gas!N$9+Gas!N$13)</f>
        <v>49.818595273355541</v>
      </c>
      <c r="O42" s="147">
        <f t="shared" si="1"/>
        <v>463.24</v>
      </c>
    </row>
    <row r="43" spans="1:15" x14ac:dyDescent="0.2">
      <c r="B43" s="74" t="s">
        <v>10</v>
      </c>
      <c r="C43" s="147">
        <f>Water!C42</f>
        <v>19.8</v>
      </c>
      <c r="D43" s="147">
        <f>Water!D42</f>
        <v>157.13</v>
      </c>
      <c r="E43" s="147">
        <f>Water!E42</f>
        <v>374.96</v>
      </c>
      <c r="F43" s="147">
        <f>Water!F42</f>
        <v>301.87</v>
      </c>
      <c r="G43" s="147">
        <f>Water!G42</f>
        <v>258.14999999999998</v>
      </c>
      <c r="H43" s="147">
        <f>Water!H42</f>
        <v>141.9</v>
      </c>
      <c r="I43" s="147">
        <f>Water!I42</f>
        <v>143.74</v>
      </c>
      <c r="J43" s="147">
        <f>Water!J42</f>
        <v>288.10000000000002</v>
      </c>
      <c r="K43" s="147">
        <f>Water!K42</f>
        <v>355.06</v>
      </c>
      <c r="L43" s="147">
        <f>Water!L42</f>
        <v>360.35</v>
      </c>
      <c r="M43" s="147">
        <f>Water!M42</f>
        <v>206.35</v>
      </c>
      <c r="N43" s="147">
        <f>Water!N42</f>
        <v>129.88</v>
      </c>
      <c r="O43" s="147">
        <f t="shared" si="1"/>
        <v>2737.29</v>
      </c>
    </row>
    <row r="44" spans="1:15" x14ac:dyDescent="0.2">
      <c r="B44" s="74" t="s">
        <v>11</v>
      </c>
      <c r="C44" s="147">
        <f>'Chilled Water'!C34</f>
        <v>305.92</v>
      </c>
      <c r="D44" s="147">
        <f>'Chilled Water'!D34</f>
        <v>438.79</v>
      </c>
      <c r="E44" s="147">
        <f>'Chilled Water'!E34</f>
        <v>488.36</v>
      </c>
      <c r="F44" s="147">
        <f>'Chilled Water'!F34</f>
        <v>227.34</v>
      </c>
      <c r="G44" s="147">
        <f>'Chilled Water'!G34</f>
        <v>188.29</v>
      </c>
      <c r="H44" s="147">
        <f>'Chilled Water'!H34</f>
        <v>91.44</v>
      </c>
      <c r="I44" s="147">
        <f>'Chilled Water'!I34</f>
        <v>26.74</v>
      </c>
      <c r="J44" s="147">
        <f>'Chilled Water'!J34</f>
        <v>258.52</v>
      </c>
      <c r="K44" s="147">
        <f>'Chilled Water'!K34</f>
        <v>155.44</v>
      </c>
      <c r="L44" s="147">
        <f>'Chilled Water'!L34</f>
        <v>135.78</v>
      </c>
      <c r="M44" s="147">
        <f>'Chilled Water'!M34</f>
        <v>369.27</v>
      </c>
      <c r="N44" s="147">
        <f>'Chilled Water'!N34</f>
        <v>324.68</v>
      </c>
      <c r="O44" s="147">
        <f t="shared" si="1"/>
        <v>3010.57</v>
      </c>
    </row>
    <row r="45" spans="1:15" x14ac:dyDescent="0.2">
      <c r="C45" s="150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</row>
    <row r="46" spans="1:15" x14ac:dyDescent="0.2">
      <c r="A46" s="74" t="s">
        <v>23</v>
      </c>
      <c r="B46" s="140" t="s">
        <v>7</v>
      </c>
      <c r="C46" s="147">
        <f>Electricity!C16</f>
        <v>502.99</v>
      </c>
      <c r="D46" s="147">
        <f>Electricity!D16</f>
        <v>103.67</v>
      </c>
      <c r="E46" s="147">
        <f>Electricity!E16</f>
        <v>37.840000000000003</v>
      </c>
      <c r="F46" s="147">
        <f>Electricity!F16</f>
        <v>9788.07</v>
      </c>
      <c r="G46" s="147">
        <f>Electricity!G16</f>
        <v>7237.12</v>
      </c>
      <c r="H46" s="147">
        <f>Electricity!H16</f>
        <v>4143.82</v>
      </c>
      <c r="I46" s="147">
        <f>Electricity!I16</f>
        <v>4386.0200000000004</v>
      </c>
      <c r="J46" s="147">
        <f>Electricity!J16</f>
        <v>6498.57</v>
      </c>
      <c r="K46" s="147">
        <f>Electricity!K16</f>
        <v>10009.08</v>
      </c>
      <c r="L46" s="147">
        <f>Electricity!L16</f>
        <v>4356.74</v>
      </c>
      <c r="M46" s="147">
        <f>Electricity!M16</f>
        <v>4319.54</v>
      </c>
      <c r="N46" s="147">
        <f>Electricity!N16</f>
        <v>3253.45</v>
      </c>
      <c r="O46" s="147">
        <f>TRUNC(SUM(C46:N46),2)</f>
        <v>54636.91</v>
      </c>
    </row>
    <row r="47" spans="1:15" x14ac:dyDescent="0.2">
      <c r="A47" s="74" t="s">
        <v>24</v>
      </c>
      <c r="B47" s="140" t="s">
        <v>9</v>
      </c>
      <c r="C47" s="147">
        <f>Gas!C17</f>
        <v>73.56</v>
      </c>
      <c r="D47" s="147">
        <f>Gas!D17</f>
        <v>78.13</v>
      </c>
      <c r="E47" s="148">
        <f>Gas!E17</f>
        <v>261.86</v>
      </c>
      <c r="F47" s="147">
        <f>Gas!F17</f>
        <v>311.32</v>
      </c>
      <c r="G47" s="147">
        <f>Gas!G17</f>
        <v>396.46</v>
      </c>
      <c r="H47" s="147">
        <f>Gas!H17</f>
        <v>372.4</v>
      </c>
      <c r="I47" s="147">
        <f>Gas!I17</f>
        <v>459.49</v>
      </c>
      <c r="J47" s="147">
        <f>Gas!J17</f>
        <v>645.41999999999996</v>
      </c>
      <c r="K47" s="147">
        <f>Gas!K17</f>
        <v>-3514.45</v>
      </c>
      <c r="L47" s="147">
        <f>Gas!L17</f>
        <v>438.15</v>
      </c>
      <c r="M47" s="147">
        <f>Gas!M17</f>
        <v>200.53</v>
      </c>
      <c r="N47" s="147">
        <f>Gas!N17</f>
        <v>58.67722483736182</v>
      </c>
      <c r="O47" s="147">
        <f>TRUNC(SUM(C47:N47),2)</f>
        <v>-218.45</v>
      </c>
    </row>
    <row r="48" spans="1:15" x14ac:dyDescent="0.2">
      <c r="B48" s="74" t="s">
        <v>10</v>
      </c>
      <c r="C48" s="147">
        <f>Water!C45</f>
        <v>1143.8800000000001</v>
      </c>
      <c r="D48" s="147">
        <f>Water!D45</f>
        <v>1214.2</v>
      </c>
      <c r="E48" s="147">
        <f>Water!E45</f>
        <v>3381.46</v>
      </c>
      <c r="F48" s="147">
        <f>Water!F45</f>
        <v>3845.35</v>
      </c>
      <c r="G48" s="147">
        <f>Water!G45</f>
        <v>3611.83</v>
      </c>
      <c r="H48" s="147">
        <f>Water!H45</f>
        <v>3210.25</v>
      </c>
      <c r="I48" s="147">
        <f>Water!I45</f>
        <v>3090.61</v>
      </c>
      <c r="J48" s="147">
        <f>Water!J45</f>
        <v>5319.1</v>
      </c>
      <c r="K48" s="147">
        <f>Water!K45</f>
        <v>3681.09</v>
      </c>
      <c r="L48" s="147">
        <f>Water!L45</f>
        <v>3650.38</v>
      </c>
      <c r="M48" s="147">
        <f>Water!M45</f>
        <v>2316.92</v>
      </c>
      <c r="N48" s="147">
        <f>Water!N45</f>
        <v>796.9</v>
      </c>
      <c r="O48" s="147">
        <f>TRUNC(SUM(C48:N48),2)</f>
        <v>35261.97</v>
      </c>
    </row>
    <row r="49" spans="1:15" x14ac:dyDescent="0.2">
      <c r="B49" s="74" t="s">
        <v>11</v>
      </c>
      <c r="C49" s="147">
        <f>'Chilled Water'!C37</f>
        <v>2842.31</v>
      </c>
      <c r="D49" s="147">
        <f>'Chilled Water'!D37</f>
        <v>3698.67</v>
      </c>
      <c r="E49" s="147">
        <f>'Chilled Water'!E37</f>
        <v>3478.99</v>
      </c>
      <c r="F49" s="147">
        <f>'Chilled Water'!F37</f>
        <v>1693.66</v>
      </c>
      <c r="G49" s="147">
        <f>'Chilled Water'!G37</f>
        <v>718.44</v>
      </c>
      <c r="H49" s="147">
        <f>'Chilled Water'!H37</f>
        <v>499.42</v>
      </c>
      <c r="I49" s="147">
        <f>'Chilled Water'!I37</f>
        <v>265.44</v>
      </c>
      <c r="J49" s="147">
        <f>'Chilled Water'!J37</f>
        <v>387</v>
      </c>
      <c r="K49" s="147">
        <f>'Chilled Water'!K37</f>
        <v>672.71</v>
      </c>
      <c r="L49" s="147">
        <f>'Chilled Water'!L37</f>
        <v>1399.9</v>
      </c>
      <c r="M49" s="147">
        <f>'Chilled Water'!M37</f>
        <v>1622.89</v>
      </c>
      <c r="N49" s="147">
        <f>'Chilled Water'!N37</f>
        <v>2312.5500000000002</v>
      </c>
      <c r="O49" s="147">
        <f>TRUNC(SUM(C49:N49),2)</f>
        <v>19591.98</v>
      </c>
    </row>
    <row r="50" spans="1:15" x14ac:dyDescent="0.2">
      <c r="H50" s="147"/>
      <c r="J50" s="147"/>
      <c r="K50" s="147"/>
      <c r="L50" s="147"/>
      <c r="M50" s="147"/>
      <c r="N50" s="147"/>
      <c r="O50" s="147"/>
    </row>
    <row r="51" spans="1:15" x14ac:dyDescent="0.2">
      <c r="A51" s="74" t="s">
        <v>25</v>
      </c>
      <c r="B51" s="140" t="s">
        <v>7</v>
      </c>
      <c r="C51" s="147">
        <f>Electricity!C13</f>
        <v>3618.88</v>
      </c>
      <c r="D51" s="147">
        <f>Electricity!D13</f>
        <v>4596.6899999999996</v>
      </c>
      <c r="E51" s="147">
        <f>Electricity!E13</f>
        <v>5316.49</v>
      </c>
      <c r="F51" s="147">
        <f>Electricity!F13</f>
        <v>5640.13</v>
      </c>
      <c r="G51" s="147">
        <f>Electricity!G13</f>
        <v>4531.2</v>
      </c>
      <c r="H51" s="147">
        <f>Electricity!H13</f>
        <v>4322.2</v>
      </c>
      <c r="I51" s="147">
        <f>Electricity!I13</f>
        <v>4471.76</v>
      </c>
      <c r="J51" s="147">
        <f>Electricity!J13</f>
        <v>4544.2299999999996</v>
      </c>
      <c r="K51" s="147">
        <f>Electricity!K13</f>
        <v>4722.72</v>
      </c>
      <c r="L51" s="147">
        <f>Electricity!L13</f>
        <v>4344.66</v>
      </c>
      <c r="M51" s="147">
        <f>Electricity!M13</f>
        <v>3696.18</v>
      </c>
      <c r="N51" s="147">
        <f>Electricity!N13</f>
        <v>2980.54</v>
      </c>
      <c r="O51" s="147">
        <f>TRUNC(SUM(C51:N51),2)</f>
        <v>52785.68</v>
      </c>
    </row>
    <row r="52" spans="1:15" x14ac:dyDescent="0.2">
      <c r="A52" s="74" t="s">
        <v>26</v>
      </c>
      <c r="B52" s="140" t="s">
        <v>9</v>
      </c>
      <c r="C52" s="147">
        <f>Gas!C22</f>
        <v>71.739999999999995</v>
      </c>
      <c r="D52" s="147">
        <f>Gas!D22</f>
        <v>112.67</v>
      </c>
      <c r="E52" s="147">
        <f>Gas!E22</f>
        <v>349.63</v>
      </c>
      <c r="F52" s="147">
        <f>Gas!F22</f>
        <v>523.58000000000004</v>
      </c>
      <c r="G52" s="147">
        <f>Gas!G22</f>
        <v>986.59</v>
      </c>
      <c r="H52" s="147">
        <f>Gas!H22</f>
        <v>1496.42</v>
      </c>
      <c r="I52" s="147">
        <f>Gas!I22</f>
        <v>1251.33</v>
      </c>
      <c r="J52" s="147">
        <f>Gas!J22</f>
        <v>1619.01</v>
      </c>
      <c r="K52" s="147">
        <f>Gas!K22</f>
        <v>-7751.5</v>
      </c>
      <c r="L52" s="147">
        <f>Gas!L22</f>
        <v>632.88</v>
      </c>
      <c r="M52" s="147">
        <f>Gas!M22</f>
        <v>253.17</v>
      </c>
      <c r="N52" s="147">
        <f>Gas!N22</f>
        <v>79.94</v>
      </c>
      <c r="O52" s="147">
        <f>TRUNC(SUM(C52:N52),2)</f>
        <v>-374.54</v>
      </c>
    </row>
    <row r="53" spans="1:15" x14ac:dyDescent="0.2">
      <c r="B53" s="74" t="s">
        <v>10</v>
      </c>
      <c r="C53" s="147">
        <f>Water!C48</f>
        <v>329.29</v>
      </c>
      <c r="D53" s="147">
        <f>Water!D48</f>
        <v>646.76</v>
      </c>
      <c r="E53" s="147">
        <f>Water!E48</f>
        <v>801.59</v>
      </c>
      <c r="F53" s="147">
        <f>Water!F48</f>
        <v>856.93</v>
      </c>
      <c r="G53" s="147">
        <f>Water!G48</f>
        <v>753.1</v>
      </c>
      <c r="H53" s="147">
        <f>Water!H48</f>
        <v>473.51</v>
      </c>
      <c r="I53" s="147">
        <f>Water!I48</f>
        <v>525.45000000000005</v>
      </c>
      <c r="J53" s="147">
        <f>Water!J48</f>
        <v>1008.86</v>
      </c>
      <c r="K53" s="147">
        <f>Water!K48</f>
        <v>654.71</v>
      </c>
      <c r="L53" s="147">
        <f>Water!L48</f>
        <v>1734.99</v>
      </c>
      <c r="M53" s="147">
        <f>Water!M48</f>
        <v>618.65</v>
      </c>
      <c r="N53" s="147">
        <f>Water!N48</f>
        <v>325.35000000000002</v>
      </c>
      <c r="O53" s="147">
        <f>TRUNC(SUM(C53:N53),2)</f>
        <v>8729.19</v>
      </c>
    </row>
    <row r="54" spans="1:15" x14ac:dyDescent="0.2">
      <c r="B54" s="74" t="s">
        <v>11</v>
      </c>
      <c r="C54" s="147">
        <f>'Chilled Water'!C40</f>
        <v>1446.04</v>
      </c>
      <c r="D54" s="147">
        <f>'Chilled Water'!D40</f>
        <v>1956.2</v>
      </c>
      <c r="E54" s="147">
        <f>'Chilled Water'!E40</f>
        <v>1666.54</v>
      </c>
      <c r="F54" s="147">
        <f>'Chilled Water'!F40</f>
        <v>711.92</v>
      </c>
      <c r="G54" s="147">
        <f>'Chilled Water'!G40</f>
        <v>190.44</v>
      </c>
      <c r="H54" s="147">
        <f>'Chilled Water'!H40</f>
        <v>68.069999999999993</v>
      </c>
      <c r="I54" s="147">
        <f>'Chilled Water'!I40</f>
        <v>81.72</v>
      </c>
      <c r="J54" s="147">
        <f>'Chilled Water'!J40</f>
        <v>41.98</v>
      </c>
      <c r="K54" s="147">
        <f>'Chilled Water'!K40</f>
        <v>253.23</v>
      </c>
      <c r="L54" s="147">
        <f>'Chilled Water'!L40</f>
        <v>574.59</v>
      </c>
      <c r="M54" s="147">
        <f>'Chilled Water'!M40</f>
        <v>512.15</v>
      </c>
      <c r="N54" s="147">
        <f>'Chilled Water'!N40</f>
        <v>600.96</v>
      </c>
      <c r="O54" s="147">
        <f>TRUNC(SUM(C54:N54),2)</f>
        <v>8103.84</v>
      </c>
    </row>
    <row r="55" spans="1:15" x14ac:dyDescent="0.2">
      <c r="H55" s="147"/>
      <c r="J55" s="147"/>
      <c r="K55" s="147"/>
      <c r="L55" s="147"/>
      <c r="M55" s="147"/>
      <c r="N55" s="147"/>
      <c r="O55" s="147"/>
    </row>
    <row r="56" spans="1:15" x14ac:dyDescent="0.2">
      <c r="A56" s="74" t="s">
        <v>27</v>
      </c>
      <c r="B56" s="140" t="s">
        <v>7</v>
      </c>
      <c r="C56" s="147">
        <f>Electricity!C7</f>
        <v>4630.8599999999997</v>
      </c>
      <c r="D56" s="147">
        <f>Electricity!D7</f>
        <v>5709.33</v>
      </c>
      <c r="E56" s="147">
        <f>Electricity!E7</f>
        <v>7053.14</v>
      </c>
      <c r="F56" s="147">
        <f>Electricity!F7</f>
        <v>7821.75</v>
      </c>
      <c r="G56" s="147">
        <f>Electricity!G7</f>
        <v>6128.69</v>
      </c>
      <c r="H56" s="147">
        <f>Electricity!H7</f>
        <v>4963.8500000000004</v>
      </c>
      <c r="I56" s="147">
        <f>Electricity!I7</f>
        <v>5089.45</v>
      </c>
      <c r="J56" s="147">
        <f>Electricity!J7</f>
        <v>5645.36</v>
      </c>
      <c r="K56" s="147">
        <f>Electricity!K7</f>
        <v>5830.71</v>
      </c>
      <c r="L56" s="147">
        <f>Electricity!L7</f>
        <v>5244.43</v>
      </c>
      <c r="M56" s="147">
        <f>Electricity!M7</f>
        <v>4585.08</v>
      </c>
      <c r="N56" s="147">
        <f>Electricity!N7</f>
        <v>4007.67</v>
      </c>
      <c r="O56" s="147">
        <f>TRUNC(SUM(C56:N56),2)</f>
        <v>66710.320000000007</v>
      </c>
    </row>
    <row r="57" spans="1:15" x14ac:dyDescent="0.2">
      <c r="A57" s="74" t="s">
        <v>28</v>
      </c>
      <c r="B57" s="140" t="s">
        <v>9</v>
      </c>
      <c r="C57" s="147">
        <f>Gas!C27</f>
        <v>163.69999999999999</v>
      </c>
      <c r="D57" s="147">
        <f>Gas!D27</f>
        <v>184.03</v>
      </c>
      <c r="E57" s="147">
        <f>Gas!E27</f>
        <v>424.55</v>
      </c>
      <c r="F57" s="147">
        <f>Gas!F27</f>
        <v>469.21</v>
      </c>
      <c r="G57" s="147">
        <f>Gas!G27</f>
        <v>637.30999999999995</v>
      </c>
      <c r="H57" s="147">
        <f>Gas!H27</f>
        <v>616.98</v>
      </c>
      <c r="I57" s="147">
        <f>Gas!I27</f>
        <v>603.29999999999995</v>
      </c>
      <c r="J57" s="147">
        <f>Gas!J27</f>
        <v>1031.94</v>
      </c>
      <c r="K57" s="147">
        <f>Gas!K27</f>
        <v>-5418.6</v>
      </c>
      <c r="L57" s="147">
        <f>Gas!L27</f>
        <v>547.26</v>
      </c>
      <c r="M57" s="147">
        <f>Gas!M27</f>
        <v>264.02999999999997</v>
      </c>
      <c r="N57" s="147">
        <f>Gas!N27</f>
        <v>127.56</v>
      </c>
      <c r="O57" s="147">
        <f>TRUNC(SUM(C57:N57),2)</f>
        <v>-348.73</v>
      </c>
    </row>
    <row r="58" spans="1:15" x14ac:dyDescent="0.2">
      <c r="B58" s="74" t="s">
        <v>10</v>
      </c>
      <c r="C58" s="147">
        <f>Water!C51</f>
        <v>157.13999999999999</v>
      </c>
      <c r="D58" s="147">
        <f>Water!D51</f>
        <v>710.08</v>
      </c>
      <c r="E58" s="147">
        <f>Water!E51</f>
        <v>1209.02</v>
      </c>
      <c r="F58" s="147">
        <f>Water!F51</f>
        <v>1325.29</v>
      </c>
      <c r="G58" s="147">
        <f>Water!G51</f>
        <v>1327.53</v>
      </c>
      <c r="H58" s="147">
        <f>Water!H51</f>
        <v>776.19</v>
      </c>
      <c r="I58" s="147">
        <f>Water!I51</f>
        <v>740.43</v>
      </c>
      <c r="J58" s="147">
        <f>Water!J51</f>
        <v>1371.04</v>
      </c>
      <c r="K58" s="147">
        <f>Water!K51</f>
        <v>833.58</v>
      </c>
      <c r="L58" s="147">
        <f>Water!L51</f>
        <v>2073.5300000000002</v>
      </c>
      <c r="M58" s="147">
        <f>Water!M51</f>
        <v>517.61</v>
      </c>
      <c r="N58" s="147">
        <f>Water!N51</f>
        <v>123.39</v>
      </c>
      <c r="O58" s="147">
        <f>TRUNC(SUM(C58:N58),2)</f>
        <v>11164.83</v>
      </c>
    </row>
    <row r="59" spans="1:15" x14ac:dyDescent="0.2">
      <c r="B59" s="74" t="s">
        <v>11</v>
      </c>
      <c r="C59" s="147">
        <f>'Chilled Water'!C43</f>
        <v>1514.27</v>
      </c>
      <c r="D59" s="147">
        <f>'Chilled Water'!D43</f>
        <v>2043.39</v>
      </c>
      <c r="E59" s="147">
        <f>'Chilled Water'!E43</f>
        <v>1923.06</v>
      </c>
      <c r="F59" s="147">
        <f>'Chilled Water'!F43</f>
        <v>940.93</v>
      </c>
      <c r="G59" s="147">
        <f>'Chilled Water'!G43</f>
        <v>566.41999999999996</v>
      </c>
      <c r="H59" s="147">
        <f>'Chilled Water'!H43</f>
        <v>262.76</v>
      </c>
      <c r="I59" s="147">
        <f>'Chilled Water'!I43</f>
        <v>278.61</v>
      </c>
      <c r="J59" s="147">
        <f>'Chilled Water'!J43</f>
        <v>125.88</v>
      </c>
      <c r="K59" s="147">
        <f>'Chilled Water'!K43</f>
        <v>375.25</v>
      </c>
      <c r="L59" s="147">
        <f>'Chilled Water'!L43</f>
        <v>734.53</v>
      </c>
      <c r="M59" s="147">
        <f>'Chilled Water'!M43</f>
        <v>698.3</v>
      </c>
      <c r="N59" s="147">
        <f>'Chilled Water'!N43</f>
        <v>1035.8699999999999</v>
      </c>
      <c r="O59" s="147">
        <f>TRUNC(SUM(C59:N59),2)</f>
        <v>10499.27</v>
      </c>
    </row>
    <row r="60" spans="1:15" x14ac:dyDescent="0.2"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</row>
    <row r="61" spans="1:15" x14ac:dyDescent="0.2">
      <c r="A61" s="74" t="s">
        <v>29</v>
      </c>
      <c r="B61" s="140" t="s">
        <v>7</v>
      </c>
      <c r="C61" s="147">
        <f>Electricity!C10</f>
        <v>5288.49</v>
      </c>
      <c r="D61" s="147">
        <f>Electricity!D10</f>
        <v>5702.34</v>
      </c>
      <c r="E61" s="147">
        <f>Electricity!E10</f>
        <v>6882.54</v>
      </c>
      <c r="F61" s="147">
        <f>Electricity!F10</f>
        <v>7853.06</v>
      </c>
      <c r="G61" s="147">
        <f>Electricity!G10</f>
        <v>6603.79</v>
      </c>
      <c r="H61" s="147">
        <f>Electricity!H10</f>
        <v>5208.51</v>
      </c>
      <c r="I61" s="147">
        <f>Electricity!I10</f>
        <v>5889.19</v>
      </c>
      <c r="J61" s="147">
        <f>Electricity!J10</f>
        <v>6514.4</v>
      </c>
      <c r="K61" s="147">
        <f>Electricity!K10</f>
        <v>6445.76</v>
      </c>
      <c r="L61" s="147">
        <f>Electricity!L10</f>
        <v>6743.65</v>
      </c>
      <c r="M61" s="147">
        <f>Electricity!M10</f>
        <v>5571.34</v>
      </c>
      <c r="N61" s="147">
        <f>Electricity!N10</f>
        <v>4505.4799999999996</v>
      </c>
      <c r="O61" s="147">
        <f>TRUNC(SUM(C61:N61),2)</f>
        <v>73208.55</v>
      </c>
    </row>
    <row r="62" spans="1:15" x14ac:dyDescent="0.2">
      <c r="B62" s="140" t="s">
        <v>9</v>
      </c>
      <c r="C62" s="147">
        <f>Gas!C32</f>
        <v>349.45</v>
      </c>
      <c r="D62" s="147">
        <f>Gas!D32</f>
        <v>299.95999999999998</v>
      </c>
      <c r="E62" s="147">
        <f>Gas!E32</f>
        <v>666.44</v>
      </c>
      <c r="F62" s="147">
        <f>Gas!F32</f>
        <v>772.34</v>
      </c>
      <c r="G62" s="147">
        <f>Gas!G32</f>
        <v>1128.95</v>
      </c>
      <c r="H62" s="147">
        <f>Gas!H32</f>
        <v>976.6</v>
      </c>
      <c r="I62" s="147">
        <f>Gas!I32</f>
        <v>1296.05</v>
      </c>
      <c r="J62" s="147">
        <f>Gas!J32</f>
        <v>1673.7</v>
      </c>
      <c r="K62" s="147">
        <f>Gas!K32</f>
        <v>-9571.31</v>
      </c>
      <c r="L62" s="147">
        <f>Gas!L32</f>
        <v>826.77</v>
      </c>
      <c r="M62" s="147">
        <f>Gas!M32</f>
        <v>527.23</v>
      </c>
      <c r="N62" s="147">
        <f>Gas!N32</f>
        <v>455.81</v>
      </c>
      <c r="O62" s="147">
        <f>TRUNC(SUM(C62:N62),2)</f>
        <v>-598</v>
      </c>
    </row>
    <row r="63" spans="1:15" x14ac:dyDescent="0.2">
      <c r="B63" s="74" t="s">
        <v>10</v>
      </c>
      <c r="C63" s="147">
        <f>Water!C54</f>
        <v>1254.08</v>
      </c>
      <c r="D63" s="147">
        <f>Water!D54</f>
        <v>2790.43</v>
      </c>
      <c r="E63" s="147">
        <f>Water!E54</f>
        <v>3855.38</v>
      </c>
      <c r="F63" s="147">
        <f>Water!F54</f>
        <v>3801.59</v>
      </c>
      <c r="G63" s="147">
        <f>Water!G54</f>
        <v>2993.56</v>
      </c>
      <c r="H63" s="147">
        <f>Water!H54</f>
        <v>1740.32</v>
      </c>
      <c r="I63" s="147">
        <f>Water!I54</f>
        <v>1605.67</v>
      </c>
      <c r="J63" s="147">
        <f>Water!J54</f>
        <v>3465.54</v>
      </c>
      <c r="K63" s="147">
        <f>Water!K54</f>
        <v>2281.5100000000002</v>
      </c>
      <c r="L63" s="147">
        <f>Water!L54</f>
        <v>3130.91</v>
      </c>
      <c r="M63" s="147">
        <f>Water!M54</f>
        <v>1435.88</v>
      </c>
      <c r="N63" s="147">
        <f>Water!N54</f>
        <v>734.21</v>
      </c>
      <c r="O63" s="147">
        <f>TRUNC(SUM(C63:N63),2)</f>
        <v>29089.08</v>
      </c>
    </row>
    <row r="64" spans="1:15" x14ac:dyDescent="0.2">
      <c r="A64" s="53"/>
      <c r="B64" s="53" t="s">
        <v>11</v>
      </c>
      <c r="C64" s="147">
        <f>'Chilled Water'!C46</f>
        <v>4969.26</v>
      </c>
      <c r="D64" s="147">
        <f>'Chilled Water'!D46</f>
        <v>5308.2</v>
      </c>
      <c r="E64" s="147">
        <f>'Chilled Water'!E46</f>
        <v>4720.4399999999996</v>
      </c>
      <c r="F64" s="147">
        <f>'Chilled Water'!F46</f>
        <v>2425.31</v>
      </c>
      <c r="G64" s="147">
        <f>'Chilled Water'!G46</f>
        <v>1059.92</v>
      </c>
      <c r="H64" s="147">
        <f>'Chilled Water'!H46</f>
        <v>278.25</v>
      </c>
      <c r="I64" s="147">
        <f>'Chilled Water'!I46</f>
        <v>236.55</v>
      </c>
      <c r="J64" s="147">
        <f>'Chilled Water'!J46</f>
        <v>121.26</v>
      </c>
      <c r="K64" s="147">
        <f>'Chilled Water'!K46</f>
        <v>1373.03</v>
      </c>
      <c r="L64" s="147">
        <f>'Chilled Water'!L46</f>
        <v>1396.1</v>
      </c>
      <c r="M64" s="147">
        <f>'Chilled Water'!M46</f>
        <v>2802.53</v>
      </c>
      <c r="N64" s="147">
        <f>'Chilled Water'!N46</f>
        <v>3078.86</v>
      </c>
      <c r="O64" s="147">
        <f>TRUNC(SUM(C64:N64),2)</f>
        <v>27769.71</v>
      </c>
    </row>
    <row r="65" spans="1:17" x14ac:dyDescent="0.2">
      <c r="C65" s="63"/>
      <c r="D65" s="63"/>
      <c r="E65" s="63"/>
      <c r="F65" s="63"/>
      <c r="G65" s="63"/>
      <c r="H65" s="151"/>
      <c r="I65" s="63"/>
      <c r="J65" s="152"/>
      <c r="K65" s="151"/>
      <c r="L65" s="151"/>
      <c r="M65" s="151"/>
      <c r="N65" s="151"/>
      <c r="O65" s="63"/>
    </row>
    <row r="66" spans="1:17" x14ac:dyDescent="0.2">
      <c r="B66" s="140" t="s">
        <v>7</v>
      </c>
      <c r="C66" s="147">
        <f t="shared" ref="C66:L66" si="2">C5+C9+C13+C17+C21+C25+C29+C33+C37+C41+C46+C51+C56+C61</f>
        <v>20681.989999999998</v>
      </c>
      <c r="D66" s="147">
        <f t="shared" si="2"/>
        <v>23266.76</v>
      </c>
      <c r="E66" s="147">
        <f t="shared" si="2"/>
        <v>55392.509999999995</v>
      </c>
      <c r="F66" s="153">
        <f t="shared" si="2"/>
        <v>42684.46</v>
      </c>
      <c r="G66" s="147">
        <f t="shared" si="2"/>
        <v>34627.79</v>
      </c>
      <c r="H66" s="147">
        <f t="shared" si="2"/>
        <v>28774.690000000002</v>
      </c>
      <c r="I66" s="147">
        <f t="shared" si="2"/>
        <v>26859.17</v>
      </c>
      <c r="J66" s="153">
        <f t="shared" si="2"/>
        <v>32437.279999999999</v>
      </c>
      <c r="K66" s="147">
        <f t="shared" si="2"/>
        <v>36926.420000000006</v>
      </c>
      <c r="L66" s="147">
        <f t="shared" si="2"/>
        <v>-2972.5399999999991</v>
      </c>
      <c r="M66" s="153">
        <f>ROUND(M5+M9+M13+M17+M21+M25+M29+M33+M37+M41+M46+M51+M56+M61,2)</f>
        <v>24752.44</v>
      </c>
      <c r="N66" s="153">
        <f>TRUNC(N5+N9+N13+N17+N21+N25+N29+N33+N37+N41+N46+N51+N56+N61,2)</f>
        <v>20820.169999999998</v>
      </c>
      <c r="O66" s="147">
        <f>TRUNC(O5+O9+O13+O17+O21+O25+O29+O33+O37+O41+O46+O51+O56+O61,2)</f>
        <v>344251.14</v>
      </c>
      <c r="P66" s="147">
        <f>TRUNC(SUM(C66:N66),2)</f>
        <v>344251.14</v>
      </c>
    </row>
    <row r="67" spans="1:17" x14ac:dyDescent="0.2">
      <c r="B67" s="140" t="s">
        <v>9</v>
      </c>
      <c r="C67" s="147">
        <f t="shared" ref="C67:L67" si="3">ROUND(C6+C10+C14+C18+C22+C26+C30+C34+C38+C42+C47+C52+C57+C62,2)</f>
        <v>1397.48</v>
      </c>
      <c r="D67" s="147">
        <f t="shared" si="3"/>
        <v>1822.67</v>
      </c>
      <c r="E67" s="147">
        <f t="shared" si="3"/>
        <v>3665.27</v>
      </c>
      <c r="F67" s="147">
        <f t="shared" si="3"/>
        <v>4296.37</v>
      </c>
      <c r="G67" s="147">
        <f t="shared" si="3"/>
        <v>6111.7</v>
      </c>
      <c r="H67" s="147">
        <f t="shared" si="3"/>
        <v>9643.5300000000007</v>
      </c>
      <c r="I67" s="147">
        <f t="shared" si="3"/>
        <v>6602.21</v>
      </c>
      <c r="J67" s="153">
        <f t="shared" si="3"/>
        <v>5956.88</v>
      </c>
      <c r="K67" s="147">
        <f t="shared" si="3"/>
        <v>-50446.39</v>
      </c>
      <c r="L67" s="147">
        <f t="shared" si="3"/>
        <v>8568.19</v>
      </c>
      <c r="M67" s="147">
        <f>ROUND(M6+M10+M14+M18+M22+M26+M30+M34+M38+M42+M47+M52+M57+M62,2)</f>
        <v>4254.6499999999996</v>
      </c>
      <c r="N67" s="147">
        <f>ROUND(N6+N10+N14+N18+N22+N26+N30+N34+N38+N42+N47+N52+N57+N62,2)</f>
        <v>1220.17</v>
      </c>
      <c r="O67" s="147">
        <f>ROUND(O6+O10+O14+O18+O22+O26+O30+O34+O38+O42+O47+O52+O57+O62,2)</f>
        <v>3092.74</v>
      </c>
      <c r="P67" s="147">
        <f>TRUNC(SUM(C67:N67),2)</f>
        <v>3092.73</v>
      </c>
    </row>
    <row r="68" spans="1:17" x14ac:dyDescent="0.2">
      <c r="B68" s="74" t="s">
        <v>10</v>
      </c>
      <c r="C68" s="147">
        <f t="shared" ref="C68:L68" si="4">C7+C11+C15+C19+C23+C27+C31+C35+C39+C43+C48+C53+C58+C63</f>
        <v>3898</v>
      </c>
      <c r="D68" s="147">
        <f t="shared" si="4"/>
        <v>7373.1399999999994</v>
      </c>
      <c r="E68" s="147">
        <f t="shared" si="4"/>
        <v>12957.25</v>
      </c>
      <c r="F68" s="153">
        <f t="shared" si="4"/>
        <v>13748.279999999999</v>
      </c>
      <c r="G68" s="147">
        <f t="shared" si="4"/>
        <v>11800.140000000001</v>
      </c>
      <c r="H68" s="147">
        <f t="shared" si="4"/>
        <v>8010.27</v>
      </c>
      <c r="I68" s="147">
        <f t="shared" si="4"/>
        <v>7795.0300000000007</v>
      </c>
      <c r="J68" s="153">
        <f t="shared" si="4"/>
        <v>14601.170000000002</v>
      </c>
      <c r="K68" s="147">
        <f t="shared" si="4"/>
        <v>10553.720000000001</v>
      </c>
      <c r="L68" s="147">
        <f t="shared" si="4"/>
        <v>13896.92</v>
      </c>
      <c r="M68" s="153">
        <f>ROUND(M7+M11+M15+M19+M23+M27+M31+M35+M39+M43+M48+M53+M58+M63,2)</f>
        <v>6617.28</v>
      </c>
      <c r="N68" s="153">
        <f>TRUNC(N7+N11+N15+N19+N23+N27+N31+N35+N39+N43+N48+N53+N58+N63,2)</f>
        <v>2558.4</v>
      </c>
      <c r="O68" s="147">
        <f>TRUNC(O7+O11+O15+O19+O23+O27+O31+O35+O39+O43+O48+O53+O58+O63,2)</f>
        <v>113809.60000000001</v>
      </c>
      <c r="P68" s="147">
        <f>TRUNC(SUM(C68:N68),2)</f>
        <v>113809.60000000001</v>
      </c>
    </row>
    <row r="69" spans="1:17" x14ac:dyDescent="0.2">
      <c r="B69" s="74" t="s">
        <v>11</v>
      </c>
      <c r="C69" s="147">
        <f t="shared" ref="C69:K69" si="5">C8+C12+C16+C20+C24+C28+C32+C36+C40+C44+C49+C54+C59+C64</f>
        <v>18539.86</v>
      </c>
      <c r="D69" s="147">
        <f t="shared" si="5"/>
        <v>21786.33</v>
      </c>
      <c r="E69" s="147">
        <f t="shared" si="5"/>
        <v>19077.670000000002</v>
      </c>
      <c r="F69" s="153">
        <f t="shared" si="5"/>
        <v>11098.81</v>
      </c>
      <c r="G69" s="147">
        <f t="shared" si="5"/>
        <v>6752.62</v>
      </c>
      <c r="H69" s="147">
        <f t="shared" si="5"/>
        <v>2794.84</v>
      </c>
      <c r="I69" s="147">
        <f t="shared" si="5"/>
        <v>1745.49</v>
      </c>
      <c r="J69" s="153">
        <f t="shared" si="5"/>
        <v>3254.6200000000003</v>
      </c>
      <c r="K69" s="147">
        <f t="shared" si="5"/>
        <v>4893.3599999999997</v>
      </c>
      <c r="L69" s="153">
        <f>ROUND(L8+L12+L16+L20+L24+L28+L32+L36+L40+L44+L49+L54+L59+L64,2)</f>
        <v>6240.49</v>
      </c>
      <c r="M69" s="153">
        <f>ROUND(M8+M12+M16+M20+M24+M28+M32+M36+M40+M44+M49+M54+M59+M64,2)</f>
        <v>9443.6</v>
      </c>
      <c r="N69" s="153">
        <f>TRUNC(N8+N12+N16+N20+N24+N28+N32+N36+N40+N44+N49+N54+N59+N64,2)</f>
        <v>12262.78</v>
      </c>
      <c r="O69" s="147">
        <f>TRUNC(O8+O12+O16+O20+O24+O28+O32+O36+O40+O44+O49+O54+O59+O64,2)</f>
        <v>117890.47</v>
      </c>
      <c r="P69" s="147">
        <f>TRUNC(SUM(C69:N69),2)</f>
        <v>117890.47</v>
      </c>
    </row>
    <row r="70" spans="1:17" x14ac:dyDescent="0.2">
      <c r="A70" s="74" t="s">
        <v>1</v>
      </c>
      <c r="C70" s="151">
        <f t="shared" ref="C70:N70" si="6">SUM(C66:C69)</f>
        <v>44517.33</v>
      </c>
      <c r="D70" s="151">
        <f t="shared" si="6"/>
        <v>54248.9</v>
      </c>
      <c r="E70" s="151">
        <f t="shared" si="6"/>
        <v>91092.7</v>
      </c>
      <c r="F70" s="152">
        <f t="shared" si="6"/>
        <v>71827.92</v>
      </c>
      <c r="G70" s="152">
        <f t="shared" si="6"/>
        <v>59292.25</v>
      </c>
      <c r="H70" s="154">
        <f t="shared" si="6"/>
        <v>49223.33</v>
      </c>
      <c r="I70" s="151">
        <f t="shared" si="6"/>
        <v>43001.899999999994</v>
      </c>
      <c r="J70" s="154">
        <f t="shared" si="6"/>
        <v>56249.950000000004</v>
      </c>
      <c r="K70" s="154">
        <f t="shared" si="6"/>
        <v>1927.1100000000069</v>
      </c>
      <c r="L70" s="154">
        <f t="shared" si="6"/>
        <v>25733.059999999998</v>
      </c>
      <c r="M70" s="152">
        <f t="shared" si="6"/>
        <v>45067.969999999994</v>
      </c>
      <c r="N70" s="152">
        <f t="shared" si="6"/>
        <v>36861.519999999997</v>
      </c>
      <c r="O70" s="151">
        <f>ROUND(SUM(C70:N70),2)</f>
        <v>579043.93999999994</v>
      </c>
      <c r="P70" s="147">
        <f>SUM(C70:N70)</f>
        <v>579043.93999999994</v>
      </c>
    </row>
    <row r="71" spans="1:17" x14ac:dyDescent="0.2"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53"/>
      <c r="Q71" s="147"/>
    </row>
    <row r="72" spans="1:17" hidden="1" x14ac:dyDescent="0.2">
      <c r="C72" s="147"/>
      <c r="D72" s="147"/>
      <c r="E72" s="147"/>
      <c r="F72" s="147"/>
      <c r="G72" s="147"/>
      <c r="H72" s="147"/>
      <c r="I72" s="147"/>
      <c r="J72" s="147"/>
      <c r="K72" s="147"/>
      <c r="L72" s="149"/>
      <c r="M72" s="147"/>
      <c r="N72" s="147"/>
      <c r="O72" s="147"/>
    </row>
    <row r="73" spans="1:17" hidden="1" x14ac:dyDescent="0.2">
      <c r="B73" s="155" t="s">
        <v>30</v>
      </c>
      <c r="C73" s="156">
        <f>C66-Electricity!C66</f>
        <v>0</v>
      </c>
      <c r="D73" s="156">
        <f>D66-Electricity!D66</f>
        <v>0</v>
      </c>
      <c r="E73" s="156">
        <f>E66-Electricity!E66</f>
        <v>0</v>
      </c>
      <c r="F73" s="156">
        <f>F66-Electricity!F66</f>
        <v>0</v>
      </c>
      <c r="G73" s="156">
        <f>G66-Electricity!G66</f>
        <v>0</v>
      </c>
      <c r="H73" s="156">
        <f>H66-Electricity!H66</f>
        <v>0</v>
      </c>
      <c r="I73" s="156">
        <f>I66-Electricity!I66</f>
        <v>0</v>
      </c>
      <c r="J73" s="156">
        <f>J66-Electricity!J66</f>
        <v>0</v>
      </c>
      <c r="K73" s="156">
        <f>K66-Electricity!K66</f>
        <v>0</v>
      </c>
      <c r="L73" s="156">
        <f>L66-Electricity!L66</f>
        <v>0</v>
      </c>
      <c r="M73" s="147">
        <f>M66-Electricity!M66</f>
        <v>0</v>
      </c>
      <c r="N73" s="147">
        <f>N66-Electricity!N66</f>
        <v>0</v>
      </c>
      <c r="O73" s="157"/>
      <c r="Q73" s="147"/>
    </row>
    <row r="74" spans="1:17" hidden="1" x14ac:dyDescent="0.2">
      <c r="B74" s="155" t="s">
        <v>31</v>
      </c>
      <c r="C74" s="156">
        <f>C67-Gas!C36</f>
        <v>0</v>
      </c>
      <c r="D74" s="156">
        <f>D67-Gas!D36</f>
        <v>0</v>
      </c>
      <c r="E74" s="156">
        <f>E67-Gas!E36</f>
        <v>0</v>
      </c>
      <c r="F74" s="156">
        <f>F67-Gas!F36</f>
        <v>0</v>
      </c>
      <c r="G74" s="156">
        <f>G67-Gas!G36</f>
        <v>0</v>
      </c>
      <c r="H74" s="156">
        <f>H67-Gas!H36</f>
        <v>0</v>
      </c>
      <c r="I74" s="156">
        <f>I67-Gas!I36</f>
        <v>0</v>
      </c>
      <c r="J74" s="156">
        <f>J67-Gas!J36</f>
        <v>0</v>
      </c>
      <c r="K74" s="156">
        <f>K67-Gas!K36</f>
        <v>0</v>
      </c>
      <c r="L74" s="156">
        <f>L67-Gas!L36</f>
        <v>0</v>
      </c>
      <c r="M74" s="147">
        <f>M67-Gas!M36</f>
        <v>0</v>
      </c>
      <c r="N74" s="158">
        <f>N67-Gas!N36</f>
        <v>0</v>
      </c>
      <c r="O74" s="157"/>
    </row>
    <row r="75" spans="1:17" hidden="1" x14ac:dyDescent="0.2">
      <c r="B75" s="155" t="s">
        <v>32</v>
      </c>
      <c r="C75" s="156">
        <f>C68-Water!C57</f>
        <v>0</v>
      </c>
      <c r="D75" s="156">
        <f>D68-Water!D57</f>
        <v>0</v>
      </c>
      <c r="E75" s="156">
        <f>E68-Water!E57</f>
        <v>0</v>
      </c>
      <c r="F75" s="156">
        <f>F68-Water!F57</f>
        <v>0</v>
      </c>
      <c r="G75" s="156">
        <f>G68-Water!G57</f>
        <v>0</v>
      </c>
      <c r="H75" s="156">
        <f>H68-Water!H57</f>
        <v>0</v>
      </c>
      <c r="I75" s="156">
        <f>I68-Water!I57</f>
        <v>0</v>
      </c>
      <c r="J75" s="156">
        <f>J68-Water!J57</f>
        <v>0</v>
      </c>
      <c r="K75" s="156">
        <f>K68-Water!K57</f>
        <v>0</v>
      </c>
      <c r="L75" s="156">
        <f>L68-Water!L57</f>
        <v>0</v>
      </c>
      <c r="M75" s="147">
        <f>M68-Water!M57</f>
        <v>0</v>
      </c>
      <c r="N75" s="158">
        <f>N68-Water!N57</f>
        <v>0</v>
      </c>
      <c r="O75" s="157"/>
      <c r="P75" s="147"/>
    </row>
    <row r="76" spans="1:17" hidden="1" x14ac:dyDescent="0.2">
      <c r="B76" s="155" t="s">
        <v>33</v>
      </c>
      <c r="C76" s="156">
        <f>C69-'Chilled Water'!C51</f>
        <v>0</v>
      </c>
      <c r="D76" s="156">
        <f>D69-'Chilled Water'!D51</f>
        <v>0</v>
      </c>
      <c r="E76" s="156">
        <f>E69-'Chilled Water'!E51</f>
        <v>0</v>
      </c>
      <c r="F76" s="156">
        <f>F69-'Chilled Water'!F51</f>
        <v>0</v>
      </c>
      <c r="G76" s="156">
        <f>G69-'Chilled Water'!G51</f>
        <v>0</v>
      </c>
      <c r="H76" s="156">
        <f>H69-'Chilled Water'!H51</f>
        <v>0</v>
      </c>
      <c r="I76" s="156">
        <f>I69-'Chilled Water'!I51</f>
        <v>0</v>
      </c>
      <c r="J76" s="156">
        <f>J69-'Chilled Water'!J51</f>
        <v>0</v>
      </c>
      <c r="K76" s="156">
        <f>K69-'Chilled Water'!K51</f>
        <v>0</v>
      </c>
      <c r="L76" s="156">
        <f>L69-'Chilled Water'!L51</f>
        <v>0</v>
      </c>
      <c r="M76" s="147">
        <f>M69-'Chilled Water'!M51</f>
        <v>0</v>
      </c>
      <c r="N76" s="158">
        <f>N69-'Chilled Water'!N51</f>
        <v>0</v>
      </c>
      <c r="O76" s="157"/>
    </row>
    <row r="77" spans="1:17" x14ac:dyDescent="0.2">
      <c r="D77" s="147"/>
      <c r="E77" s="147"/>
      <c r="O77" s="147"/>
    </row>
    <row r="78" spans="1:17" x14ac:dyDescent="0.2">
      <c r="A78" s="74" t="s">
        <v>34</v>
      </c>
      <c r="G78" s="147"/>
      <c r="K78" s="147"/>
    </row>
    <row r="79" spans="1:17" x14ac:dyDescent="0.2">
      <c r="A79" s="74" t="s">
        <v>35</v>
      </c>
      <c r="M79" s="147"/>
      <c r="N79" s="147"/>
      <c r="P79" s="147"/>
      <c r="Q79" s="147"/>
    </row>
    <row r="80" spans="1:17" x14ac:dyDescent="0.2">
      <c r="A80" s="72" t="s">
        <v>36</v>
      </c>
      <c r="P80" s="147"/>
      <c r="Q80" s="147"/>
    </row>
    <row r="81" spans="1:17" x14ac:dyDescent="0.2">
      <c r="A81" s="72" t="s">
        <v>37</v>
      </c>
      <c r="P81" s="147"/>
      <c r="Q81" s="147"/>
    </row>
    <row r="82" spans="1:17" x14ac:dyDescent="0.2">
      <c r="A82" s="72" t="s">
        <v>38</v>
      </c>
      <c r="P82" s="147"/>
      <c r="Q82" s="147"/>
    </row>
    <row r="83" spans="1:17" x14ac:dyDescent="0.2">
      <c r="A83" s="72" t="s">
        <v>39</v>
      </c>
    </row>
    <row r="84" spans="1:17" x14ac:dyDescent="0.2">
      <c r="A84" s="72" t="s">
        <v>40</v>
      </c>
    </row>
    <row r="85" spans="1:17" x14ac:dyDescent="0.2">
      <c r="A85" s="72" t="s">
        <v>41</v>
      </c>
    </row>
    <row r="86" spans="1:17" x14ac:dyDescent="0.2">
      <c r="A86" s="72" t="s">
        <v>42</v>
      </c>
    </row>
    <row r="87" spans="1:17" x14ac:dyDescent="0.2">
      <c r="A87" s="72" t="s">
        <v>43</v>
      </c>
    </row>
    <row r="88" spans="1:17" x14ac:dyDescent="0.2">
      <c r="A88" s="72" t="s">
        <v>44</v>
      </c>
    </row>
    <row r="89" spans="1:17" x14ac:dyDescent="0.2">
      <c r="A89" s="74" t="s">
        <v>45</v>
      </c>
    </row>
    <row r="90" spans="1:17" x14ac:dyDescent="0.2">
      <c r="A90" s="70"/>
    </row>
  </sheetData>
  <printOptions horizontalCentered="1"/>
  <pageMargins left="0" right="0" top="0.5" bottom="0.5" header="0.5" footer="0.5"/>
  <pageSetup scale="77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75"/>
  <sheetViews>
    <sheetView zoomScale="110" zoomScaleNormal="85" workbookViewId="0">
      <pane ySplit="5" topLeftCell="A6" activePane="bottomLeft" state="frozen"/>
      <selection pane="bottomLeft" activeCell="Q10" sqref="Q10"/>
    </sheetView>
  </sheetViews>
  <sheetFormatPr defaultColWidth="9.140625" defaultRowHeight="12" x14ac:dyDescent="0.2"/>
  <cols>
    <col min="1" max="1" width="18.5703125" style="118" customWidth="1"/>
    <col min="2" max="2" width="11" style="118" customWidth="1"/>
    <col min="3" max="3" width="11.85546875" style="118" hidden="1" customWidth="1"/>
    <col min="4" max="4" width="11" style="118" hidden="1" customWidth="1"/>
    <col min="5" max="5" width="14.28515625" style="118" hidden="1" customWidth="1"/>
    <col min="6" max="6" width="11.7109375" style="118" hidden="1" customWidth="1"/>
    <col min="7" max="9" width="11" style="118" hidden="1" customWidth="1"/>
    <col min="10" max="10" width="11.28515625" style="118" customWidth="1"/>
    <col min="11" max="14" width="11" style="118" hidden="1" customWidth="1"/>
    <col min="15" max="15" width="12" style="118" hidden="1" customWidth="1"/>
    <col min="16" max="16" width="12" style="118" customWidth="1"/>
    <col min="17" max="19" width="9.140625" style="118" customWidth="1"/>
    <col min="20" max="16384" width="9.140625" style="118"/>
  </cols>
  <sheetData>
    <row r="1" spans="1:17" x14ac:dyDescent="0.2">
      <c r="A1" s="88" t="s">
        <v>7</v>
      </c>
      <c r="C1" s="88"/>
      <c r="D1" s="88"/>
      <c r="E1" s="118" t="s">
        <v>16</v>
      </c>
    </row>
    <row r="2" spans="1:17" x14ac:dyDescent="0.2">
      <c r="F2" s="139"/>
      <c r="I2" s="141"/>
    </row>
    <row r="3" spans="1:17" x14ac:dyDescent="0.2">
      <c r="A3" s="89" t="s">
        <v>3</v>
      </c>
      <c r="B3" s="89" t="s">
        <v>4</v>
      </c>
      <c r="C3" s="159">
        <f>'Utility Summary'!C3</f>
        <v>42930</v>
      </c>
      <c r="D3" s="160">
        <f>'Utility Summary'!D3</f>
        <v>42961</v>
      </c>
      <c r="E3" s="160">
        <f>'Utility Summary'!E3</f>
        <v>42992</v>
      </c>
      <c r="F3" s="159">
        <f>'Utility Summary'!F3</f>
        <v>43022</v>
      </c>
      <c r="G3" s="159">
        <f>'Utility Summary'!G3</f>
        <v>43053</v>
      </c>
      <c r="H3" s="159">
        <f>'Utility Summary'!H3</f>
        <v>43083</v>
      </c>
      <c r="I3" s="159">
        <f>'Utility Summary'!I3</f>
        <v>43114</v>
      </c>
      <c r="J3" s="159">
        <f>'Utility Summary'!J3</f>
        <v>43145</v>
      </c>
      <c r="K3" s="159">
        <f>'Utility Summary'!K3</f>
        <v>43173</v>
      </c>
      <c r="L3" s="159">
        <f>'Utility Summary'!L3</f>
        <v>43204</v>
      </c>
      <c r="M3" s="159">
        <f>'Utility Summary'!M3</f>
        <v>43234</v>
      </c>
      <c r="N3" s="159">
        <f>'Utility Summary'!N3</f>
        <v>43265</v>
      </c>
      <c r="O3" s="98" t="s">
        <v>1</v>
      </c>
      <c r="P3" s="90"/>
    </row>
    <row r="4" spans="1:17" s="161" customFormat="1" x14ac:dyDescent="0.2">
      <c r="B4" s="162" t="s">
        <v>46</v>
      </c>
      <c r="C4" s="161">
        <v>42585</v>
      </c>
      <c r="D4" s="161">
        <v>42980</v>
      </c>
      <c r="E4" s="161">
        <v>43013</v>
      </c>
      <c r="F4" s="161">
        <v>42675</v>
      </c>
      <c r="G4" s="161">
        <v>42705</v>
      </c>
      <c r="H4" s="161">
        <v>42740</v>
      </c>
      <c r="I4" s="161">
        <v>43101</v>
      </c>
      <c r="J4" s="161">
        <v>43160</v>
      </c>
      <c r="K4" s="161">
        <v>42826</v>
      </c>
      <c r="L4" s="161">
        <v>42492</v>
      </c>
      <c r="M4" s="161">
        <v>42537</v>
      </c>
      <c r="N4" s="161">
        <v>42190</v>
      </c>
      <c r="O4" s="163"/>
      <c r="P4" s="91"/>
    </row>
    <row r="5" spans="1:17" s="94" customFormat="1" ht="24" customHeight="1" x14ac:dyDescent="0.2">
      <c r="A5" s="92"/>
      <c r="B5" s="93" t="s">
        <v>47</v>
      </c>
      <c r="C5" s="164">
        <f>(126961.92+159448.01+1556.39+39787.05)/(1912930+0+266705)</f>
        <v>0.15037075932438229</v>
      </c>
      <c r="D5" s="165">
        <f>(139749+177842.04+1457.83+34522.94)/(1974066+0+231418)</f>
        <v>0.16031483792219761</v>
      </c>
      <c r="E5" s="166">
        <f>(185076.27+1457.83+134966.15+29901.04)/(2094283+0+200436)</f>
        <v>0.15313478033693884</v>
      </c>
      <c r="F5" s="165">
        <f>(149298.66+1507.11+119543.93+30874.59)/(1633178+0+206962)</f>
        <v>0.16369639810014455</v>
      </c>
      <c r="G5" s="164">
        <f>(110625.2+127231.05+1367.15+19692.82)/(1619564+0+128787)</f>
        <v>0.14809167037968921</v>
      </c>
      <c r="H5" s="165">
        <f>(119751.42+21491.19+1408.55+103923)/(1575343+140548)</f>
        <v>0.14370036325151189</v>
      </c>
      <c r="I5" s="165">
        <f>(114810.28+126949.47+14854.14+1506.62)/(1684658+97143)</f>
        <v>0.14486494844261508</v>
      </c>
      <c r="J5" s="167">
        <f>(122407.06+27007.58+107322.26+1506.62)/(1574771+0+176624)</f>
        <v>0.14745018685105302</v>
      </c>
      <c r="K5" s="165">
        <f>(119751.42+21491.19+1408.55+103923)/(1575343+140548)</f>
        <v>0.14370036325151189</v>
      </c>
      <c r="L5" s="165">
        <f>(119751.42+21491.19+1408.55+103923)/(1575343+140548)</f>
        <v>0.14370036325151189</v>
      </c>
      <c r="M5" s="165">
        <f>(119751.42+21491.19+1408.55+103923)/(1575343+140548)</f>
        <v>0.14370036325151189</v>
      </c>
      <c r="N5" s="165">
        <f>(119751.42+21491.19+1408.55+103923)/(1575343+140548)</f>
        <v>0.14370036325151189</v>
      </c>
      <c r="O5" s="165">
        <f>(119751.42+21491.19+1408.55+103923)/(1575343+140548)</f>
        <v>0.14370036325151189</v>
      </c>
      <c r="P5" s="93"/>
    </row>
    <row r="6" spans="1:17" ht="24" customHeight="1" x14ac:dyDescent="0.2">
      <c r="A6" s="118" t="s">
        <v>48</v>
      </c>
      <c r="B6" s="119" t="s">
        <v>49</v>
      </c>
      <c r="C6" s="126">
        <f>29792.4849/(2879/2976)</f>
        <v>30796.260876137549</v>
      </c>
      <c r="D6" s="126">
        <f>35026.84/(2927/2976)</f>
        <v>35613.213474547316</v>
      </c>
      <c r="E6" s="139">
        <f>46058.3616905212/(2880/2880)</f>
        <v>46058.361690521197</v>
      </c>
      <c r="F6" s="139">
        <f>47685.726/(2970/2976)</f>
        <v>47782.060800000007</v>
      </c>
      <c r="G6" s="139">
        <f>41384.413/(2880/2880)</f>
        <v>41384.413</v>
      </c>
      <c r="H6" s="139">
        <f>34543.091/(2976/2976)</f>
        <v>34543.091</v>
      </c>
      <c r="I6" s="139">
        <f>35132.37/(2976/2976)</f>
        <v>35132.370000000003</v>
      </c>
      <c r="J6" s="139">
        <f>38286.5889577865/(2688/2688)</f>
        <v>38286.588957786502</v>
      </c>
      <c r="K6" s="139">
        <f>40520.9137/(2972/2976)</f>
        <v>40575.450595962313</v>
      </c>
      <c r="L6" s="139">
        <f>35874.659/(2831/2880)</f>
        <v>36495.590929000355</v>
      </c>
      <c r="M6" s="139">
        <f>31446.1678/(2933/2976)</f>
        <v>31907.192421684282</v>
      </c>
      <c r="N6" s="139">
        <f>21565.63/(2227/2880)</f>
        <v>27889.094925909296</v>
      </c>
      <c r="O6" s="100">
        <f>SUM(C6:N6)</f>
        <v>446463.68867154879</v>
      </c>
      <c r="Q6" s="139"/>
    </row>
    <row r="7" spans="1:17" x14ac:dyDescent="0.2">
      <c r="B7" s="119" t="s">
        <v>50</v>
      </c>
      <c r="C7" s="125">
        <f t="shared" ref="C7:I7" si="0">ROUND(C6*C$5,2)</f>
        <v>4630.8599999999997</v>
      </c>
      <c r="D7" s="125">
        <f t="shared" si="0"/>
        <v>5709.33</v>
      </c>
      <c r="E7" s="125">
        <f t="shared" si="0"/>
        <v>7053.14</v>
      </c>
      <c r="F7" s="125">
        <f t="shared" si="0"/>
        <v>7821.75</v>
      </c>
      <c r="G7" s="125">
        <f t="shared" si="0"/>
        <v>6128.69</v>
      </c>
      <c r="H7" s="125">
        <f t="shared" si="0"/>
        <v>4963.8500000000004</v>
      </c>
      <c r="I7" s="125">
        <f t="shared" si="0"/>
        <v>5089.45</v>
      </c>
      <c r="J7" s="125">
        <f>ROUND(J6*J$5,2)</f>
        <v>5645.36</v>
      </c>
      <c r="K7" s="125">
        <f>ROUND(K6*K$5,2)</f>
        <v>5830.71</v>
      </c>
      <c r="L7" s="125">
        <f>ROUND(L6*L$5,2)</f>
        <v>5244.43</v>
      </c>
      <c r="M7" s="125">
        <f>ROUND(M6*M$5,2)</f>
        <v>4585.08</v>
      </c>
      <c r="N7" s="125">
        <f>ROUND(N6*N$5,2)</f>
        <v>4007.67</v>
      </c>
      <c r="O7" s="168">
        <f>SUM(C7:N7)</f>
        <v>66710.319999999992</v>
      </c>
    </row>
    <row r="8" spans="1:17" x14ac:dyDescent="0.2">
      <c r="H8" s="142"/>
      <c r="I8" s="142"/>
      <c r="J8" s="142"/>
      <c r="K8" s="142"/>
      <c r="L8" s="142"/>
      <c r="M8" s="142"/>
      <c r="N8" s="142"/>
      <c r="O8" s="99"/>
    </row>
    <row r="9" spans="1:17" ht="24" customHeight="1" x14ac:dyDescent="0.2">
      <c r="A9" s="118" t="s">
        <v>51</v>
      </c>
      <c r="B9" s="119" t="s">
        <v>49</v>
      </c>
      <c r="C9" s="139">
        <f>31612.5418/(2675/2976)</f>
        <v>35169.691363289719</v>
      </c>
      <c r="D9" s="139">
        <f>35318.66/(2955/2976)</f>
        <v>35569.655553299497</v>
      </c>
      <c r="E9" s="139">
        <f>44944.3/(2880/2880)</f>
        <v>44944.3</v>
      </c>
      <c r="F9" s="139">
        <f>47876.594/(2970/2976)</f>
        <v>47973.314391919193</v>
      </c>
      <c r="G9" s="139">
        <f>44577.086/(2879/2880)</f>
        <v>44592.569531087189</v>
      </c>
      <c r="H9" s="139">
        <f>36245.624/(2976/2976)</f>
        <v>36245.624000000003</v>
      </c>
      <c r="I9" s="139">
        <f>40652.99/(2976/2976)</f>
        <v>40652.99</v>
      </c>
      <c r="J9" s="139">
        <f>44180.3690188596/(2688/2688)</f>
        <v>44180.369018859601</v>
      </c>
      <c r="K9" s="139">
        <f>42685.139/(2832/2976)</f>
        <v>44855.569796610172</v>
      </c>
      <c r="L9" s="139">
        <f>46863.346/(2876/2880)</f>
        <v>46928.524506258691</v>
      </c>
      <c r="M9" s="139">
        <f>28739.17/(2206/2976)</f>
        <v>38770.521269265642</v>
      </c>
      <c r="N9" s="139">
        <f>23373.452/(2147/2880)</f>
        <v>31353.303102002799</v>
      </c>
      <c r="O9" s="100">
        <f>SUM(C9:N9)</f>
        <v>491236.43253259244</v>
      </c>
    </row>
    <row r="10" spans="1:17" x14ac:dyDescent="0.2">
      <c r="B10" s="118" t="s">
        <v>50</v>
      </c>
      <c r="C10" s="169">
        <f t="shared" ref="C10:N10" si="1">ROUND(C9*C$5,2)</f>
        <v>5288.49</v>
      </c>
      <c r="D10" s="169">
        <f t="shared" si="1"/>
        <v>5702.34</v>
      </c>
      <c r="E10" s="169">
        <f t="shared" si="1"/>
        <v>6882.54</v>
      </c>
      <c r="F10" s="169">
        <f t="shared" si="1"/>
        <v>7853.06</v>
      </c>
      <c r="G10" s="169">
        <f t="shared" si="1"/>
        <v>6603.79</v>
      </c>
      <c r="H10" s="169">
        <f t="shared" si="1"/>
        <v>5208.51</v>
      </c>
      <c r="I10" s="169">
        <f t="shared" si="1"/>
        <v>5889.19</v>
      </c>
      <c r="J10" s="169">
        <f t="shared" si="1"/>
        <v>6514.4</v>
      </c>
      <c r="K10" s="169">
        <f t="shared" si="1"/>
        <v>6445.76</v>
      </c>
      <c r="L10" s="169">
        <f t="shared" si="1"/>
        <v>6743.65</v>
      </c>
      <c r="M10" s="169">
        <f t="shared" si="1"/>
        <v>5571.34</v>
      </c>
      <c r="N10" s="169">
        <f t="shared" si="1"/>
        <v>4505.4799999999996</v>
      </c>
      <c r="O10" s="168">
        <f>SUM(C10:N10)</f>
        <v>73208.55</v>
      </c>
    </row>
    <row r="11" spans="1:17" x14ac:dyDescent="0.2"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8"/>
    </row>
    <row r="12" spans="1:17" ht="24" customHeight="1" x14ac:dyDescent="0.2">
      <c r="A12" s="118" t="s">
        <v>52</v>
      </c>
      <c r="B12" s="119" t="s">
        <v>49</v>
      </c>
      <c r="C12" s="126">
        <f>23273.877/(2878/2976)</f>
        <v>24066.385667824881</v>
      </c>
      <c r="D12" s="126">
        <f>(28200.79/(2927/2976))</f>
        <v>28672.890686709943</v>
      </c>
      <c r="E12" s="139">
        <f>34717.74495/(2880/2880)</f>
        <v>34717.74495</v>
      </c>
      <c r="F12" s="139">
        <f>34385.384/(2970/2976)</f>
        <v>34454.849422222222</v>
      </c>
      <c r="G12" s="139">
        <f>30576.0257/(2878/2880)</f>
        <v>30597.273806810284</v>
      </c>
      <c r="H12" s="139">
        <f>30037.416/(2972/2976)</f>
        <v>30077.843208613729</v>
      </c>
      <c r="I12" s="139">
        <f>29520.06/(2846/2976)</f>
        <v>30868.481574139143</v>
      </c>
      <c r="J12" s="139">
        <f>30818.7770757675/(2688/2688)</f>
        <v>30818.777075767499</v>
      </c>
      <c r="K12" s="139">
        <f>32820.853/(2972/2976)</f>
        <v>32865.026422611038</v>
      </c>
      <c r="L12" s="139">
        <f>29719.767/(2831/2880)</f>
        <v>30234.167771105615</v>
      </c>
      <c r="M12" s="139">
        <f>25194.2095/(2915/2976)</f>
        <v>25721.429664493997</v>
      </c>
      <c r="N12" s="139">
        <f>16038.544/(2227/2880)</f>
        <v>20741.359101930848</v>
      </c>
      <c r="O12" s="100">
        <f>SUM(C12:N12)</f>
        <v>353836.22935222922</v>
      </c>
    </row>
    <row r="13" spans="1:17" x14ac:dyDescent="0.2">
      <c r="B13" s="118" t="s">
        <v>50</v>
      </c>
      <c r="C13" s="169">
        <f t="shared" ref="C13:N13" si="2">ROUND(C12*C$5,2)</f>
        <v>3618.88</v>
      </c>
      <c r="D13" s="169">
        <f t="shared" si="2"/>
        <v>4596.6899999999996</v>
      </c>
      <c r="E13" s="169">
        <f t="shared" si="2"/>
        <v>5316.49</v>
      </c>
      <c r="F13" s="169">
        <f t="shared" si="2"/>
        <v>5640.13</v>
      </c>
      <c r="G13" s="169">
        <f t="shared" si="2"/>
        <v>4531.2</v>
      </c>
      <c r="H13" s="169">
        <f t="shared" si="2"/>
        <v>4322.2</v>
      </c>
      <c r="I13" s="169">
        <f t="shared" si="2"/>
        <v>4471.76</v>
      </c>
      <c r="J13" s="169">
        <f t="shared" si="2"/>
        <v>4544.2299999999996</v>
      </c>
      <c r="K13" s="169">
        <f t="shared" si="2"/>
        <v>4722.72</v>
      </c>
      <c r="L13" s="169">
        <f t="shared" si="2"/>
        <v>4344.66</v>
      </c>
      <c r="M13" s="169">
        <f t="shared" si="2"/>
        <v>3696.18</v>
      </c>
      <c r="N13" s="169">
        <f t="shared" si="2"/>
        <v>2980.54</v>
      </c>
      <c r="O13" s="168">
        <f>SUM(C13:N13)</f>
        <v>52785.680000000008</v>
      </c>
    </row>
    <row r="14" spans="1:17" x14ac:dyDescent="0.2"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8"/>
    </row>
    <row r="15" spans="1:17" ht="24" customHeight="1" x14ac:dyDescent="0.2">
      <c r="A15" s="118" t="s">
        <v>53</v>
      </c>
      <c r="B15" s="119" t="s">
        <v>49</v>
      </c>
      <c r="C15" s="139">
        <f>3345/(2976/2976)</f>
        <v>3345</v>
      </c>
      <c r="D15" s="139">
        <f>646.6527/(2976/2976)</f>
        <v>646.65269999999998</v>
      </c>
      <c r="E15" s="137">
        <f>246.598/(2874/2880)</f>
        <v>247.11281837160752</v>
      </c>
      <c r="F15" s="139">
        <f>59794.07/(2976/2976)</f>
        <v>59794.07</v>
      </c>
      <c r="G15" s="137">
        <f>48801.33/(2876/2880)</f>
        <v>48869.203894297636</v>
      </c>
      <c r="H15" s="139">
        <f>(23402+34271)/2</f>
        <v>28836.5</v>
      </c>
      <c r="I15" s="139">
        <f>AVERAGE([1]Electricity!$I$48,[2]Electricity!$I$48)</f>
        <v>30276.580052435856</v>
      </c>
      <c r="J15" s="139">
        <f>44073/(2688/2688)</f>
        <v>44073</v>
      </c>
      <c r="K15" s="137">
        <v>69652.399999999994</v>
      </c>
      <c r="L15" s="139">
        <f>30286.654/(2877/2880)</f>
        <v>30318.235495307614</v>
      </c>
      <c r="M15" s="139">
        <f>26493.86/(2623/2976)</f>
        <v>30059.369942813573</v>
      </c>
      <c r="N15" s="139">
        <f>14653.46/(1864/2880)</f>
        <v>22640.53905579399</v>
      </c>
      <c r="O15" s="100">
        <f>SUM(C15:N15)</f>
        <v>368758.66395902034</v>
      </c>
      <c r="Q15" s="139"/>
    </row>
    <row r="16" spans="1:17" x14ac:dyDescent="0.2">
      <c r="B16" s="118" t="s">
        <v>50</v>
      </c>
      <c r="C16" s="169">
        <f t="shared" ref="C16:N16" si="3">ROUND(C15*C$5,2)</f>
        <v>502.99</v>
      </c>
      <c r="D16" s="169">
        <f t="shared" si="3"/>
        <v>103.67</v>
      </c>
      <c r="E16" s="169">
        <f t="shared" si="3"/>
        <v>37.840000000000003</v>
      </c>
      <c r="F16" s="169">
        <f t="shared" si="3"/>
        <v>9788.07</v>
      </c>
      <c r="G16" s="169">
        <f t="shared" si="3"/>
        <v>7237.12</v>
      </c>
      <c r="H16" s="169">
        <f t="shared" si="3"/>
        <v>4143.82</v>
      </c>
      <c r="I16" s="169">
        <f t="shared" si="3"/>
        <v>4386.0200000000004</v>
      </c>
      <c r="J16" s="169">
        <f t="shared" si="3"/>
        <v>6498.57</v>
      </c>
      <c r="K16" s="169">
        <f t="shared" si="3"/>
        <v>10009.08</v>
      </c>
      <c r="L16" s="169">
        <f t="shared" si="3"/>
        <v>4356.74</v>
      </c>
      <c r="M16" s="169">
        <f t="shared" si="3"/>
        <v>4319.54</v>
      </c>
      <c r="N16" s="169">
        <f t="shared" si="3"/>
        <v>3253.45</v>
      </c>
      <c r="O16" s="168">
        <f>SUM(C16:N16)</f>
        <v>54636.909999999996</v>
      </c>
    </row>
    <row r="17" spans="1:18" x14ac:dyDescent="0.2"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8"/>
    </row>
    <row r="18" spans="1:18" ht="24" customHeight="1" x14ac:dyDescent="0.2">
      <c r="A18" s="118" t="s">
        <v>54</v>
      </c>
      <c r="B18" s="119" t="s">
        <v>49</v>
      </c>
      <c r="C18" s="139">
        <f>4237/(2974/2976)</f>
        <v>4239.8493611297918</v>
      </c>
      <c r="D18" s="139">
        <f>5173.8/(2954/2976)</f>
        <v>5212.3320243737307</v>
      </c>
      <c r="E18" s="139">
        <f>6879.376/(2877/2880)</f>
        <v>6886.5494890510954</v>
      </c>
      <c r="F18" s="139">
        <f>6736.876/(2970/2976)</f>
        <v>6750.4858505050506</v>
      </c>
      <c r="G18" s="139">
        <f>6245.626/(2879/2880)</f>
        <v>6247.7953733935401</v>
      </c>
      <c r="H18" s="139">
        <f>4451.25/(2706/2976)</f>
        <v>4895.3880266075384</v>
      </c>
      <c r="I18" s="139">
        <f>AVERAGE(4643,4654)</f>
        <v>4648.5</v>
      </c>
      <c r="J18" s="139">
        <f>6071.25077199935/(2688/2688)</f>
        <v>6071.25077199935</v>
      </c>
      <c r="K18" s="144">
        <f>5613.7507/(2955/2976)</f>
        <v>5653.6453750253804</v>
      </c>
      <c r="L18" s="139">
        <f>5670/(2843/2880)</f>
        <v>5743.7917692578267</v>
      </c>
      <c r="M18" s="139">
        <f>3851.2504/(2864/2976)</f>
        <v>4001.8579575418994</v>
      </c>
      <c r="N18" s="139">
        <f>2634.225/(2747/2880)</f>
        <v>2761.7648343647616</v>
      </c>
      <c r="O18" s="100">
        <f>SUM(C18:N18)</f>
        <v>63113.210833249963</v>
      </c>
      <c r="Q18" s="139"/>
    </row>
    <row r="19" spans="1:18" x14ac:dyDescent="0.2">
      <c r="B19" s="118" t="s">
        <v>50</v>
      </c>
      <c r="C19" s="169">
        <f t="shared" ref="C19:N19" si="4">ROUND(C18*C$5,2)</f>
        <v>637.54999999999995</v>
      </c>
      <c r="D19" s="169">
        <f t="shared" si="4"/>
        <v>835.61</v>
      </c>
      <c r="E19" s="169">
        <f t="shared" si="4"/>
        <v>1054.57</v>
      </c>
      <c r="F19" s="169">
        <f t="shared" si="4"/>
        <v>1105.03</v>
      </c>
      <c r="G19" s="169">
        <f t="shared" si="4"/>
        <v>925.25</v>
      </c>
      <c r="H19" s="169">
        <f t="shared" si="4"/>
        <v>703.47</v>
      </c>
      <c r="I19" s="169">
        <f t="shared" si="4"/>
        <v>673.4</v>
      </c>
      <c r="J19" s="169">
        <f t="shared" si="4"/>
        <v>895.21</v>
      </c>
      <c r="K19" s="169">
        <f t="shared" si="4"/>
        <v>812.43</v>
      </c>
      <c r="L19" s="169">
        <f t="shared" si="4"/>
        <v>825.38</v>
      </c>
      <c r="M19" s="169">
        <f t="shared" si="4"/>
        <v>575.07000000000005</v>
      </c>
      <c r="N19" s="169">
        <f t="shared" si="4"/>
        <v>396.87</v>
      </c>
      <c r="O19" s="168">
        <f>SUM(C19:N19)</f>
        <v>9439.84</v>
      </c>
    </row>
    <row r="20" spans="1:18" x14ac:dyDescent="0.2">
      <c r="H20" s="142"/>
      <c r="I20" s="142"/>
      <c r="J20" s="142"/>
      <c r="K20" s="142"/>
      <c r="L20" s="142"/>
      <c r="M20" s="142"/>
      <c r="N20" s="142"/>
      <c r="O20" s="99"/>
    </row>
    <row r="21" spans="1:18" ht="24" customHeight="1" x14ac:dyDescent="0.2">
      <c r="A21" s="119" t="s">
        <v>55</v>
      </c>
      <c r="B21" s="119" t="s">
        <v>56</v>
      </c>
      <c r="C21" s="139">
        <f>2528612</f>
        <v>2528612</v>
      </c>
      <c r="D21" s="139">
        <v>2345807</v>
      </c>
      <c r="E21" s="139">
        <v>2566544</v>
      </c>
      <c r="F21" s="139">
        <v>2589207</v>
      </c>
      <c r="G21" s="139">
        <v>2612102</v>
      </c>
      <c r="H21" s="139">
        <v>2623847</v>
      </c>
      <c r="I21" s="139">
        <v>2639619</v>
      </c>
      <c r="J21" s="139">
        <v>2659219</v>
      </c>
      <c r="K21" s="139">
        <v>2680920</v>
      </c>
      <c r="L21" s="139">
        <v>2472306</v>
      </c>
      <c r="M21" s="139">
        <v>2488598</v>
      </c>
      <c r="N21" s="139">
        <v>2507788</v>
      </c>
      <c r="O21" s="99"/>
    </row>
    <row r="22" spans="1:18" ht="24" customHeight="1" x14ac:dyDescent="0.2">
      <c r="A22" s="119"/>
      <c r="B22" s="119" t="s">
        <v>49</v>
      </c>
      <c r="C22" s="139">
        <f>2528612-2507788</f>
        <v>20824</v>
      </c>
      <c r="D22" s="139">
        <f>ABS(28*(D21-C21)/(D4-C4))</f>
        <v>12958.32911392405</v>
      </c>
      <c r="E22" s="139">
        <f>ABS(28*(E21-D21)/(E4-D4))</f>
        <v>187292</v>
      </c>
      <c r="F22" s="139">
        <f>F21-E21</f>
        <v>22663</v>
      </c>
      <c r="G22" s="139">
        <f>(G21-F21)</f>
        <v>22895</v>
      </c>
      <c r="H22" s="139">
        <f>(H21-F21)</f>
        <v>34640</v>
      </c>
      <c r="I22" s="139">
        <f>I21-H21</f>
        <v>15772</v>
      </c>
      <c r="J22" s="139">
        <f>J21-I21</f>
        <v>19600</v>
      </c>
      <c r="K22" s="139">
        <f>(K21-J21)</f>
        <v>21701</v>
      </c>
      <c r="L22" s="139">
        <f>L21-K21</f>
        <v>-208614</v>
      </c>
      <c r="M22" s="139">
        <f>M21-L21</f>
        <v>16292</v>
      </c>
      <c r="N22" s="139">
        <f>N21-M21</f>
        <v>19190</v>
      </c>
      <c r="O22" s="100">
        <f>SUM(C22:N22)</f>
        <v>185213.32911392406</v>
      </c>
      <c r="P22" s="139"/>
      <c r="Q22" s="139"/>
      <c r="R22" s="95"/>
    </row>
    <row r="23" spans="1:18" x14ac:dyDescent="0.2">
      <c r="B23" s="118" t="s">
        <v>50</v>
      </c>
      <c r="C23" s="169">
        <f t="shared" ref="C23:N23" si="5">ROUND(C22*C$5,2)</f>
        <v>3131.32</v>
      </c>
      <c r="D23" s="169">
        <f t="shared" si="5"/>
        <v>2077.41</v>
      </c>
      <c r="E23" s="169">
        <f t="shared" si="5"/>
        <v>28680.92</v>
      </c>
      <c r="F23" s="169">
        <f t="shared" si="5"/>
        <v>3709.85</v>
      </c>
      <c r="G23" s="169">
        <f t="shared" si="5"/>
        <v>3390.56</v>
      </c>
      <c r="H23" s="169">
        <f t="shared" si="5"/>
        <v>4977.78</v>
      </c>
      <c r="I23" s="169">
        <f t="shared" si="5"/>
        <v>2284.81</v>
      </c>
      <c r="J23" s="169">
        <f t="shared" si="5"/>
        <v>2890.02</v>
      </c>
      <c r="K23" s="169">
        <f t="shared" si="5"/>
        <v>3118.44</v>
      </c>
      <c r="L23" s="169">
        <f t="shared" si="5"/>
        <v>-29977.91</v>
      </c>
      <c r="M23" s="169">
        <f t="shared" si="5"/>
        <v>2341.17</v>
      </c>
      <c r="N23" s="169">
        <f t="shared" si="5"/>
        <v>2757.61</v>
      </c>
      <c r="O23" s="168">
        <f>SUM(C23:N23)</f>
        <v>29381.979999999989</v>
      </c>
      <c r="P23" s="161"/>
      <c r="Q23" s="161"/>
      <c r="R23" s="95"/>
    </row>
    <row r="24" spans="1:18" x14ac:dyDescent="0.2"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8"/>
      <c r="P24" s="161"/>
      <c r="Q24" s="161"/>
      <c r="R24" s="95"/>
    </row>
    <row r="25" spans="1:18" ht="24" customHeight="1" x14ac:dyDescent="0.2">
      <c r="A25" s="118" t="s">
        <v>57</v>
      </c>
      <c r="B25" s="119" t="s">
        <v>49</v>
      </c>
      <c r="C25" s="139">
        <f>1620/(2972/2976)</f>
        <v>1622.1803499327052</v>
      </c>
      <c r="D25" s="139">
        <f>2284.01/(2974/2976)</f>
        <v>2285.5459852051113</v>
      </c>
      <c r="E25" s="143">
        <f>2838.75/(2880/2880)</f>
        <v>2838.75</v>
      </c>
      <c r="F25" s="139">
        <f>2878.125/(2970/2976)</f>
        <v>2883.939393939394</v>
      </c>
      <c r="G25" s="139">
        <f>2726.25/(2879/2880)</f>
        <v>2727.1969433831191</v>
      </c>
      <c r="H25" s="139">
        <f>2055/(2706/2976)</f>
        <v>2260.0443458980044</v>
      </c>
      <c r="I25" s="139">
        <f>AVERAGE(1983,1996)</f>
        <v>1989.5</v>
      </c>
      <c r="J25" s="139">
        <f>2733.75034761428/(2688/2688)</f>
        <v>2733.7503476142801</v>
      </c>
      <c r="K25" s="139">
        <f>2246.25/(2235/2976)</f>
        <v>2990.979865771812</v>
      </c>
      <c r="L25" s="139">
        <f>2696.25/(2848/2880)</f>
        <v>2726.5449438202245</v>
      </c>
      <c r="M25" s="139">
        <f>2088.75/(2851/2976)</f>
        <v>2180.3297088740792</v>
      </c>
      <c r="N25" s="139">
        <f>1127.16/(2747/2880)</f>
        <v>1181.7330906443394</v>
      </c>
      <c r="O25" s="100">
        <f>SUM(C25:N25)</f>
        <v>28420.494975083071</v>
      </c>
      <c r="Q25" s="139"/>
    </row>
    <row r="26" spans="1:18" x14ac:dyDescent="0.2">
      <c r="B26" s="118" t="s">
        <v>50</v>
      </c>
      <c r="C26" s="169">
        <f t="shared" ref="C26:N26" si="6">ROUND(C25*C$5,2)</f>
        <v>243.93</v>
      </c>
      <c r="D26" s="169">
        <f t="shared" si="6"/>
        <v>366.41</v>
      </c>
      <c r="E26" s="169">
        <f t="shared" si="6"/>
        <v>434.71</v>
      </c>
      <c r="F26" s="169">
        <f t="shared" si="6"/>
        <v>472.09</v>
      </c>
      <c r="G26" s="169">
        <f t="shared" si="6"/>
        <v>403.88</v>
      </c>
      <c r="H26" s="169">
        <f t="shared" si="6"/>
        <v>324.77</v>
      </c>
      <c r="I26" s="169">
        <f t="shared" si="6"/>
        <v>288.20999999999998</v>
      </c>
      <c r="J26" s="169">
        <f t="shared" si="6"/>
        <v>403.09</v>
      </c>
      <c r="K26" s="169">
        <f t="shared" si="6"/>
        <v>429.8</v>
      </c>
      <c r="L26" s="169">
        <f t="shared" si="6"/>
        <v>391.81</v>
      </c>
      <c r="M26" s="169">
        <f t="shared" si="6"/>
        <v>313.31</v>
      </c>
      <c r="N26" s="169">
        <f t="shared" si="6"/>
        <v>169.82</v>
      </c>
      <c r="O26" s="168">
        <f>SUM(C26:N26)</f>
        <v>4241.83</v>
      </c>
    </row>
    <row r="27" spans="1:18" x14ac:dyDescent="0.2"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8"/>
      <c r="P27" s="161"/>
      <c r="Q27" s="161"/>
      <c r="R27" s="95"/>
    </row>
    <row r="28" spans="1:18" ht="24" customHeight="1" x14ac:dyDescent="0.2">
      <c r="A28" s="118" t="s">
        <v>58</v>
      </c>
      <c r="B28" s="119" t="s">
        <v>49</v>
      </c>
      <c r="C28" s="139">
        <f>1830/(2255/2976)</f>
        <v>2415.1130820399112</v>
      </c>
      <c r="D28" s="139">
        <f>2460.99/(2954/2976)</f>
        <v>2479.3182938388622</v>
      </c>
      <c r="E28" s="139">
        <f>4385.63/(2880/2880)</f>
        <v>4385.63</v>
      </c>
      <c r="F28" s="139">
        <f>4413.751/(2969/2976)</f>
        <v>4424.1572839339842</v>
      </c>
      <c r="G28" s="139">
        <f>4346.251/(2879/2880)</f>
        <v>4347.7606391108029</v>
      </c>
      <c r="H28" s="139">
        <f>3277.5/(2706/2976)</f>
        <v>3604.5232815964523</v>
      </c>
      <c r="I28" s="139">
        <f>AVERAGE(2747,2998)</f>
        <v>2872.5</v>
      </c>
      <c r="J28" s="139">
        <f>4243.12553954124/(2688/2688)</f>
        <v>4243.12553954124</v>
      </c>
      <c r="K28" s="139">
        <f>3195/(2241/2976)</f>
        <v>4242.8915662650597</v>
      </c>
      <c r="L28" s="139">
        <f>3817.5/(2843/2880)</f>
        <v>3867.1825536405208</v>
      </c>
      <c r="M28" s="139">
        <f>2242.5/(2924/2976)</f>
        <v>2282.3803009575922</v>
      </c>
      <c r="N28" s="139">
        <f>1770.72/(2747/2880)</f>
        <v>1856.4519839825264</v>
      </c>
      <c r="O28" s="100">
        <f>SUM(C28:N28)</f>
        <v>41021.034524906958</v>
      </c>
      <c r="P28" s="161"/>
      <c r="Q28" s="139"/>
      <c r="R28" s="95"/>
    </row>
    <row r="29" spans="1:18" x14ac:dyDescent="0.2">
      <c r="B29" s="118" t="s">
        <v>50</v>
      </c>
      <c r="C29" s="169">
        <f t="shared" ref="C29:N29" si="7">ROUND(C28*C$5,2)</f>
        <v>363.16</v>
      </c>
      <c r="D29" s="169">
        <f t="shared" si="7"/>
        <v>397.47</v>
      </c>
      <c r="E29" s="169">
        <f t="shared" si="7"/>
        <v>671.59</v>
      </c>
      <c r="F29" s="169">
        <f t="shared" si="7"/>
        <v>724.22</v>
      </c>
      <c r="G29" s="169">
        <f t="shared" si="7"/>
        <v>643.87</v>
      </c>
      <c r="H29" s="169">
        <f t="shared" si="7"/>
        <v>517.97</v>
      </c>
      <c r="I29" s="169">
        <f t="shared" si="7"/>
        <v>416.12</v>
      </c>
      <c r="J29" s="169">
        <f t="shared" si="7"/>
        <v>625.65</v>
      </c>
      <c r="K29" s="169">
        <f t="shared" si="7"/>
        <v>609.71</v>
      </c>
      <c r="L29" s="169">
        <f t="shared" si="7"/>
        <v>555.72</v>
      </c>
      <c r="M29" s="169">
        <f t="shared" si="7"/>
        <v>327.98</v>
      </c>
      <c r="N29" s="169">
        <f t="shared" si="7"/>
        <v>266.77</v>
      </c>
      <c r="O29" s="168">
        <f>SUM(C29:N29)</f>
        <v>6120.2300000000014</v>
      </c>
    </row>
    <row r="30" spans="1:18" x14ac:dyDescent="0.2"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8"/>
    </row>
    <row r="31" spans="1:18" ht="24" customHeight="1" x14ac:dyDescent="0.2">
      <c r="A31" s="118" t="s">
        <v>59</v>
      </c>
      <c r="B31" s="119" t="s">
        <v>49</v>
      </c>
      <c r="C31" s="139">
        <f>2512.5/(2973/2976)</f>
        <v>2515.0353178607465</v>
      </c>
      <c r="D31" s="139">
        <f>4073.81/(2958/2976)</f>
        <v>4098.5999188640972</v>
      </c>
      <c r="E31" s="139">
        <f>5977.5/(2879/2880)</f>
        <v>5979.5762417506085</v>
      </c>
      <c r="F31" s="139">
        <f>5881.876/(2970/2976)</f>
        <v>5893.7585777777786</v>
      </c>
      <c r="G31" s="139">
        <f>5041.876/(2879/2880)</f>
        <v>5043.6272594650927</v>
      </c>
      <c r="H31" s="139">
        <f>3564.375/(2706/2976)</f>
        <v>3920.0221729490022</v>
      </c>
      <c r="I31" s="139">
        <f>AVERAGE(3126,3707)</f>
        <v>3416.5</v>
      </c>
      <c r="J31" s="139">
        <f>4770.00060653686/(2688/2688)</f>
        <v>4770.0006065368598</v>
      </c>
      <c r="K31" s="139">
        <f>4231.8755/(2237/2976)</f>
        <v>5629.8889083594095</v>
      </c>
      <c r="L31" s="139">
        <f>5165.63/(2848/2880)</f>
        <v>5223.6707865168537</v>
      </c>
      <c r="M31" s="139">
        <f>3110.6253/(2860/2976)</f>
        <v>3236.7905219580421</v>
      </c>
      <c r="N31" s="139">
        <f>2291.55/(2754/2880)</f>
        <v>2396.3921568627452</v>
      </c>
      <c r="O31" s="100">
        <f>SUM(C31:N31)</f>
        <v>52123.862468901243</v>
      </c>
      <c r="Q31" s="139"/>
    </row>
    <row r="32" spans="1:18" x14ac:dyDescent="0.2">
      <c r="B32" s="118" t="s">
        <v>50</v>
      </c>
      <c r="C32" s="169">
        <f t="shared" ref="C32:N32" si="8">ROUND(C31*C$5,2)</f>
        <v>378.19</v>
      </c>
      <c r="D32" s="169">
        <f t="shared" si="8"/>
        <v>657.07</v>
      </c>
      <c r="E32" s="169">
        <f t="shared" si="8"/>
        <v>915.68</v>
      </c>
      <c r="F32" s="169">
        <f t="shared" si="8"/>
        <v>964.79</v>
      </c>
      <c r="G32" s="169">
        <f t="shared" si="8"/>
        <v>746.92</v>
      </c>
      <c r="H32" s="169">
        <f t="shared" si="8"/>
        <v>563.30999999999995</v>
      </c>
      <c r="I32" s="169">
        <f t="shared" si="8"/>
        <v>494.93</v>
      </c>
      <c r="J32" s="169">
        <f t="shared" si="8"/>
        <v>703.34</v>
      </c>
      <c r="K32" s="169">
        <f t="shared" si="8"/>
        <v>809.02</v>
      </c>
      <c r="L32" s="169">
        <f t="shared" si="8"/>
        <v>750.64</v>
      </c>
      <c r="M32" s="169">
        <f t="shared" si="8"/>
        <v>465.13</v>
      </c>
      <c r="N32" s="169">
        <f t="shared" si="8"/>
        <v>344.36</v>
      </c>
      <c r="O32" s="168">
        <f>SUM(C32:N32)</f>
        <v>7793.38</v>
      </c>
    </row>
    <row r="33" spans="1:17" x14ac:dyDescent="0.2"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8"/>
    </row>
    <row r="34" spans="1:17" ht="24" customHeight="1" x14ac:dyDescent="0.2">
      <c r="A34" s="118" t="s">
        <v>60</v>
      </c>
      <c r="B34" s="119" t="s">
        <v>49</v>
      </c>
      <c r="C34" s="139">
        <f>3069.375/(2975/2976)</f>
        <v>3070.4067226890757</v>
      </c>
      <c r="D34" s="139">
        <f>3572.28/(2939/2976)</f>
        <v>3617.2525620959514</v>
      </c>
      <c r="E34" s="139">
        <f>7563.751/(2879/2880)</f>
        <v>7566.3782146578678</v>
      </c>
      <c r="F34" s="139">
        <f>7916.251/(2969/2976)</f>
        <v>7934.9151148534856</v>
      </c>
      <c r="G34" s="139">
        <f>7629.375/(2879/2880)</f>
        <v>7632.0250086835713</v>
      </c>
      <c r="H34" s="139">
        <f>5388.75/(2706/2976)</f>
        <v>5926.4301552106426</v>
      </c>
      <c r="I34" s="139">
        <f>AVERAGE(5328,5723)</f>
        <v>5525.5</v>
      </c>
      <c r="J34" s="139">
        <f>6798.75086426734/(2688/2688)</f>
        <v>6798.7508642673401</v>
      </c>
      <c r="K34" s="139">
        <f>5908.13/(2240/2976)</f>
        <v>7849.3727142857142</v>
      </c>
      <c r="L34" s="139">
        <f>6577.5/(2846/2880)</f>
        <v>6656.0787069571325</v>
      </c>
      <c r="M34" s="139">
        <f>3845.625/(2926/2976)</f>
        <v>3911.3397129186606</v>
      </c>
      <c r="N34" s="139">
        <f>3378.68/(2749/2880)</f>
        <v>3539.6865769370679</v>
      </c>
      <c r="O34" s="100">
        <f>SUM(C34:N34)</f>
        <v>70028.136353556503</v>
      </c>
      <c r="Q34" s="139"/>
    </row>
    <row r="35" spans="1:17" x14ac:dyDescent="0.2">
      <c r="B35" s="118" t="s">
        <v>50</v>
      </c>
      <c r="C35" s="169">
        <f t="shared" ref="C35:N35" si="9">ROUND(C34*C$5,2)</f>
        <v>461.7</v>
      </c>
      <c r="D35" s="169">
        <f t="shared" si="9"/>
        <v>579.9</v>
      </c>
      <c r="E35" s="169">
        <f t="shared" si="9"/>
        <v>1158.68</v>
      </c>
      <c r="F35" s="169">
        <f t="shared" si="9"/>
        <v>1298.92</v>
      </c>
      <c r="G35" s="169">
        <f t="shared" si="9"/>
        <v>1130.24</v>
      </c>
      <c r="H35" s="169">
        <f t="shared" si="9"/>
        <v>851.63</v>
      </c>
      <c r="I35" s="169">
        <f t="shared" si="9"/>
        <v>800.45</v>
      </c>
      <c r="J35" s="169">
        <f t="shared" si="9"/>
        <v>1002.48</v>
      </c>
      <c r="K35" s="169">
        <f t="shared" si="9"/>
        <v>1127.96</v>
      </c>
      <c r="L35" s="169">
        <f t="shared" si="9"/>
        <v>956.48</v>
      </c>
      <c r="M35" s="169">
        <f t="shared" si="9"/>
        <v>562.05999999999995</v>
      </c>
      <c r="N35" s="169">
        <f t="shared" si="9"/>
        <v>508.65</v>
      </c>
      <c r="O35" s="168">
        <f>SUM(C35:N35)</f>
        <v>10439.149999999998</v>
      </c>
    </row>
    <row r="37" spans="1:17" ht="24" customHeight="1" x14ac:dyDescent="0.2">
      <c r="A37" s="118" t="s">
        <v>61</v>
      </c>
      <c r="B37" s="119" t="s">
        <v>49</v>
      </c>
      <c r="C37" s="139">
        <f>3084.375/(2975/2976)</f>
        <v>3085.4117647058824</v>
      </c>
      <c r="D37" s="139">
        <f>3999.3/(2974/2976)</f>
        <v>4001.9895090786822</v>
      </c>
      <c r="E37" s="139">
        <f>5891.2507/(2880/2880)</f>
        <v>5891.2506999999996</v>
      </c>
      <c r="F37" s="139">
        <f>5478.75/(2969/2976)</f>
        <v>5491.6672280229031</v>
      </c>
      <c r="G37" s="139">
        <f>5283.751/(2879/2880)</f>
        <v>5285.5862730114632</v>
      </c>
      <c r="H37" s="139">
        <f>3810/(2706/2976)</f>
        <v>4190.1552106430154</v>
      </c>
      <c r="I37" s="139">
        <f>AVERAGE(3249,4047)</f>
        <v>3648</v>
      </c>
      <c r="J37" s="139">
        <f>5101.87564873695/(2688/2688)</f>
        <v>5101.8756487369501</v>
      </c>
      <c r="K37" s="139">
        <f>4515/(2235/2976)</f>
        <v>6011.9194630872489</v>
      </c>
      <c r="L37" s="139">
        <f>5786.25/(2848/2880)</f>
        <v>5851.2640449438204</v>
      </c>
      <c r="M37" s="139">
        <f>3461.25/(2852/2976)</f>
        <v>3611.7391304347825</v>
      </c>
      <c r="N37" s="139">
        <f>2170.65/(2697/2880)</f>
        <v>2317.9354838709678</v>
      </c>
      <c r="O37" s="100">
        <f>SUM(C37:N37)</f>
        <v>54488.794456535717</v>
      </c>
      <c r="Q37" s="139"/>
    </row>
    <row r="38" spans="1:17" x14ac:dyDescent="0.2">
      <c r="B38" s="118" t="s">
        <v>50</v>
      </c>
      <c r="C38" s="169">
        <f t="shared" ref="C38:N38" si="10">ROUND(C37*C$5,2)</f>
        <v>463.96</v>
      </c>
      <c r="D38" s="169">
        <f t="shared" si="10"/>
        <v>641.58000000000004</v>
      </c>
      <c r="E38" s="169">
        <f t="shared" si="10"/>
        <v>902.16</v>
      </c>
      <c r="F38" s="169">
        <f t="shared" si="10"/>
        <v>898.97</v>
      </c>
      <c r="G38" s="169">
        <f t="shared" si="10"/>
        <v>782.75</v>
      </c>
      <c r="H38" s="169">
        <f t="shared" si="10"/>
        <v>602.13</v>
      </c>
      <c r="I38" s="169">
        <f t="shared" si="10"/>
        <v>528.47</v>
      </c>
      <c r="J38" s="169">
        <f t="shared" si="10"/>
        <v>752.27</v>
      </c>
      <c r="K38" s="169">
        <f t="shared" si="10"/>
        <v>863.92</v>
      </c>
      <c r="L38" s="169">
        <f t="shared" si="10"/>
        <v>840.83</v>
      </c>
      <c r="M38" s="169">
        <f t="shared" si="10"/>
        <v>519.01</v>
      </c>
      <c r="N38" s="169">
        <f t="shared" si="10"/>
        <v>333.09</v>
      </c>
      <c r="O38" s="168">
        <f>SUM(C38:N38)</f>
        <v>8129.1400000000012</v>
      </c>
    </row>
    <row r="39" spans="1:17" x14ac:dyDescent="0.2"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</row>
    <row r="40" spans="1:17" ht="24" customHeight="1" x14ac:dyDescent="0.2">
      <c r="A40" s="118" t="s">
        <v>62</v>
      </c>
      <c r="B40" s="119" t="s">
        <v>49</v>
      </c>
      <c r="C40" s="139">
        <f>1216.875/(2972/2976)</f>
        <v>1218.5127860026919</v>
      </c>
      <c r="D40" s="139">
        <f>2246.25/(2975/2976)</f>
        <v>2247.0050420168068</v>
      </c>
      <c r="E40" s="139">
        <f>3500.625/(2878/2880)</f>
        <v>3503.0576789437109</v>
      </c>
      <c r="F40" s="139">
        <f>3363.75043/(2968/2976)</f>
        <v>3372.8171427493262</v>
      </c>
      <c r="G40" s="139">
        <f>3138.75/(2879/2880)</f>
        <v>3139.8402222994096</v>
      </c>
      <c r="H40" s="139">
        <f>2146.88/(2706/2976)</f>
        <v>2361.0919733924611</v>
      </c>
      <c r="I40" s="139">
        <f>AVERAGE(1814,2080)</f>
        <v>1947</v>
      </c>
      <c r="J40" s="139">
        <f>3069.37539029121/(2688/2688)</f>
        <v>3069.3753902912099</v>
      </c>
      <c r="K40" s="139">
        <f>3500.625*(2878/2880)</f>
        <v>3498.1940104166665</v>
      </c>
      <c r="L40" s="139">
        <f>3500.625*(2878/2880)</f>
        <v>3498.1940104166665</v>
      </c>
      <c r="M40" s="139">
        <f>3500.625*(2878/2880)</f>
        <v>3498.1940104166665</v>
      </c>
      <c r="N40" s="139">
        <f>3500.625*(2878/2880)</f>
        <v>3498.1940104166665</v>
      </c>
      <c r="O40" s="139">
        <f>3500.625*(2878/2880)</f>
        <v>3498.1940104166665</v>
      </c>
      <c r="Q40" s="139"/>
    </row>
    <row r="41" spans="1:17" x14ac:dyDescent="0.2">
      <c r="A41" s="109"/>
      <c r="B41" s="118" t="s">
        <v>50</v>
      </c>
      <c r="C41" s="169">
        <f t="shared" ref="C41:N41" si="11">ROUND(C40*C$5,2)</f>
        <v>183.23</v>
      </c>
      <c r="D41" s="169">
        <f t="shared" si="11"/>
        <v>360.23</v>
      </c>
      <c r="E41" s="169">
        <f t="shared" si="11"/>
        <v>536.44000000000005</v>
      </c>
      <c r="F41" s="169">
        <f t="shared" si="11"/>
        <v>552.12</v>
      </c>
      <c r="G41" s="169">
        <f t="shared" si="11"/>
        <v>464.98</v>
      </c>
      <c r="H41" s="169">
        <f t="shared" si="11"/>
        <v>339.29</v>
      </c>
      <c r="I41" s="169">
        <f t="shared" si="11"/>
        <v>282.05</v>
      </c>
      <c r="J41" s="169">
        <f t="shared" si="11"/>
        <v>452.58</v>
      </c>
      <c r="K41" s="169">
        <f t="shared" si="11"/>
        <v>502.69</v>
      </c>
      <c r="L41" s="169">
        <f t="shared" si="11"/>
        <v>502.69</v>
      </c>
      <c r="M41" s="169">
        <f t="shared" si="11"/>
        <v>502.69</v>
      </c>
      <c r="N41" s="169">
        <f t="shared" si="11"/>
        <v>502.69</v>
      </c>
      <c r="O41" s="168">
        <f>SUM(C41:N41)</f>
        <v>5181.6799999999994</v>
      </c>
    </row>
    <row r="42" spans="1:17" x14ac:dyDescent="0.2">
      <c r="A42" s="10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8"/>
    </row>
    <row r="43" spans="1:17" ht="24" customHeight="1" x14ac:dyDescent="0.2">
      <c r="A43" s="118" t="s">
        <v>63</v>
      </c>
      <c r="B43" s="119" t="s">
        <v>49</v>
      </c>
      <c r="C43" s="139">
        <f>2248.125/(2256/2976)</f>
        <v>2965.6117021276596</v>
      </c>
      <c r="D43" s="139">
        <f>3873.75/(2975/2976)</f>
        <v>3875.0521008403362</v>
      </c>
      <c r="E43" s="139">
        <f>5949.376/(2880/2880)</f>
        <v>5949.3760000000002</v>
      </c>
      <c r="F43" s="139">
        <f>5643.751/(2970/2976)</f>
        <v>5655.1525171717176</v>
      </c>
      <c r="G43" s="139">
        <f>2752.5/(1406/2880)</f>
        <v>5638.122332859175</v>
      </c>
      <c r="H43" s="139">
        <f>4134.376/(2656/2976)</f>
        <v>4632.493590361446</v>
      </c>
      <c r="I43" s="139">
        <f>AVERAGE(4257,5434)</f>
        <v>4845.5</v>
      </c>
      <c r="J43" s="139">
        <f>5386.87568497657/(2688/2688)</f>
        <v>5386.8756849765696</v>
      </c>
      <c r="K43" s="139">
        <f>4410/(2175/2976)</f>
        <v>6034.0965517241384</v>
      </c>
      <c r="L43" s="139">
        <f>5340/(2846/2880)</f>
        <v>5403.7947997189031</v>
      </c>
      <c r="M43" s="139">
        <f>3585/(2793/2976)</f>
        <v>3819.8925886143934</v>
      </c>
      <c r="N43" s="139">
        <f>2974.425/(2697/2880)</f>
        <v>3176.2491657397113</v>
      </c>
      <c r="O43" s="100">
        <f>SUM(C43:N43)</f>
        <v>57382.217034134053</v>
      </c>
      <c r="Q43" s="139"/>
    </row>
    <row r="44" spans="1:17" x14ac:dyDescent="0.2">
      <c r="A44" s="109"/>
      <c r="B44" s="118" t="s">
        <v>50</v>
      </c>
      <c r="C44" s="169">
        <f t="shared" ref="C44:N44" si="12">ROUND(C43*C$5,2)</f>
        <v>445.94</v>
      </c>
      <c r="D44" s="169">
        <f t="shared" si="12"/>
        <v>621.23</v>
      </c>
      <c r="E44" s="169">
        <f t="shared" si="12"/>
        <v>911.06</v>
      </c>
      <c r="F44" s="169">
        <f t="shared" si="12"/>
        <v>925.73</v>
      </c>
      <c r="G44" s="169">
        <f t="shared" si="12"/>
        <v>834.96</v>
      </c>
      <c r="H44" s="169">
        <f t="shared" si="12"/>
        <v>665.69</v>
      </c>
      <c r="I44" s="169">
        <f t="shared" si="12"/>
        <v>701.94</v>
      </c>
      <c r="J44" s="169">
        <f t="shared" si="12"/>
        <v>794.3</v>
      </c>
      <c r="K44" s="169">
        <f t="shared" si="12"/>
        <v>867.1</v>
      </c>
      <c r="L44" s="169">
        <f t="shared" si="12"/>
        <v>776.53</v>
      </c>
      <c r="M44" s="169">
        <f t="shared" si="12"/>
        <v>548.91999999999996</v>
      </c>
      <c r="N44" s="169">
        <f t="shared" si="12"/>
        <v>456.43</v>
      </c>
      <c r="O44" s="168">
        <f>SUM(C44:N44)</f>
        <v>8549.8300000000017</v>
      </c>
    </row>
    <row r="45" spans="1:17" x14ac:dyDescent="0.2">
      <c r="A45" s="10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8"/>
    </row>
    <row r="46" spans="1:17" ht="24" customHeight="1" x14ac:dyDescent="0.2">
      <c r="A46" s="118" t="s">
        <v>64</v>
      </c>
      <c r="B46" s="119" t="s">
        <v>49</v>
      </c>
      <c r="C46" s="139">
        <f>2205/(2974/2976)</f>
        <v>2206.4828513786147</v>
      </c>
      <c r="D46" s="143">
        <f>3816.21/(2947/2976)</f>
        <v>3853.7634747200545</v>
      </c>
      <c r="E46" s="143">
        <f>5461.8757/(2879/2880)</f>
        <v>5463.7728433483844</v>
      </c>
      <c r="F46" s="139">
        <f>5666.251/(2969/2976)</f>
        <v>5679.6102984169756</v>
      </c>
      <c r="G46" s="139">
        <f>5424.376/(2879/2880)</f>
        <v>5426.2601180965621</v>
      </c>
      <c r="H46" s="139">
        <f>3735/(2706/2976)</f>
        <v>4107.6718403547675</v>
      </c>
      <c r="I46" s="139">
        <f>AVERAGE(3287,4339)</f>
        <v>3813</v>
      </c>
      <c r="J46" s="139">
        <f>4854.3756172657/(2688/2688)</f>
        <v>4854.3756172657004</v>
      </c>
      <c r="K46" s="139">
        <f>4059.38/(2234/2976)</f>
        <v>5407.6610922112795</v>
      </c>
      <c r="L46" s="139">
        <f>4929.376/(2850/2880)</f>
        <v>4981.264168421053</v>
      </c>
      <c r="M46" s="139">
        <f>2900.625/(2919/2976)</f>
        <v>2957.2661870503598</v>
      </c>
      <c r="N46" s="139">
        <f>2237.58/(2750/2880)</f>
        <v>2343.3565090909087</v>
      </c>
      <c r="O46" s="100">
        <f>SUM(C46:N46)</f>
        <v>51094.48500035466</v>
      </c>
      <c r="Q46" s="139"/>
    </row>
    <row r="47" spans="1:17" x14ac:dyDescent="0.2">
      <c r="B47" s="118" t="s">
        <v>50</v>
      </c>
      <c r="C47" s="169">
        <f t="shared" ref="C47:N47" si="13">ROUND(C46*C$5,2)</f>
        <v>331.79</v>
      </c>
      <c r="D47" s="169">
        <f t="shared" si="13"/>
        <v>617.82000000000005</v>
      </c>
      <c r="E47" s="169">
        <f t="shared" si="13"/>
        <v>836.69</v>
      </c>
      <c r="F47" s="169">
        <f t="shared" si="13"/>
        <v>929.73</v>
      </c>
      <c r="G47" s="169">
        <f t="shared" si="13"/>
        <v>803.58</v>
      </c>
      <c r="H47" s="169">
        <f t="shared" si="13"/>
        <v>590.27</v>
      </c>
      <c r="I47" s="169">
        <f t="shared" si="13"/>
        <v>552.37</v>
      </c>
      <c r="J47" s="169">
        <f t="shared" si="13"/>
        <v>715.78</v>
      </c>
      <c r="K47" s="169">
        <f t="shared" si="13"/>
        <v>777.08</v>
      </c>
      <c r="L47" s="169">
        <f t="shared" si="13"/>
        <v>715.81</v>
      </c>
      <c r="M47" s="169">
        <f t="shared" si="13"/>
        <v>424.96</v>
      </c>
      <c r="N47" s="169">
        <f t="shared" si="13"/>
        <v>336.74</v>
      </c>
      <c r="O47" s="168">
        <f>SUM(C47:N47)</f>
        <v>7632.62</v>
      </c>
    </row>
    <row r="50" spans="1:15" x14ac:dyDescent="0.2">
      <c r="C50" s="169"/>
      <c r="D50" s="169"/>
      <c r="E50" s="169"/>
      <c r="F50" s="125"/>
      <c r="G50" s="169"/>
      <c r="H50" s="125"/>
      <c r="I50" s="125"/>
      <c r="J50" s="125"/>
      <c r="K50" s="125"/>
      <c r="L50" s="125"/>
      <c r="M50" s="125"/>
      <c r="N50" s="125"/>
      <c r="O50" s="168"/>
    </row>
    <row r="53" spans="1:15" x14ac:dyDescent="0.2">
      <c r="C53" s="169"/>
      <c r="D53" s="169"/>
      <c r="E53" s="169"/>
      <c r="F53" s="125"/>
      <c r="G53" s="169"/>
      <c r="H53" s="125"/>
      <c r="I53" s="125"/>
      <c r="J53" s="125"/>
      <c r="K53" s="125"/>
      <c r="L53" s="125"/>
      <c r="M53" s="125"/>
      <c r="N53" s="125"/>
      <c r="O53" s="168"/>
    </row>
    <row r="56" spans="1:15" x14ac:dyDescent="0.2">
      <c r="C56" s="169"/>
      <c r="D56" s="169"/>
      <c r="E56" s="169"/>
      <c r="F56" s="125"/>
      <c r="G56" s="169"/>
      <c r="H56" s="125"/>
      <c r="I56" s="125"/>
      <c r="J56" s="125"/>
      <c r="K56" s="125"/>
      <c r="L56" s="125"/>
      <c r="M56" s="125"/>
      <c r="N56" s="125"/>
      <c r="O56" s="168"/>
    </row>
    <row r="57" spans="1:15" x14ac:dyDescent="0.2">
      <c r="C57" s="169"/>
      <c r="D57" s="169"/>
      <c r="E57" s="169"/>
      <c r="F57" s="125"/>
      <c r="G57" s="169"/>
      <c r="H57" s="125"/>
      <c r="I57" s="125"/>
      <c r="J57" s="125"/>
      <c r="K57" s="125"/>
      <c r="L57" s="125"/>
      <c r="M57" s="125"/>
      <c r="N57" s="125"/>
      <c r="O57" s="168"/>
    </row>
    <row r="58" spans="1:15" x14ac:dyDescent="0.2">
      <c r="C58" s="169"/>
      <c r="D58" s="169"/>
      <c r="E58" s="169"/>
      <c r="F58" s="125"/>
      <c r="G58" s="169"/>
      <c r="H58" s="125"/>
      <c r="I58" s="125"/>
      <c r="J58" s="125"/>
      <c r="K58" s="125"/>
      <c r="L58" s="125"/>
      <c r="M58" s="125"/>
      <c r="N58" s="125"/>
      <c r="O58" s="168"/>
    </row>
    <row r="59" spans="1:15" x14ac:dyDescent="0.2">
      <c r="C59" s="169"/>
      <c r="D59" s="169"/>
      <c r="E59" s="169"/>
      <c r="F59" s="139"/>
      <c r="G59" s="169"/>
      <c r="H59" s="139"/>
      <c r="I59" s="139"/>
      <c r="J59" s="139"/>
      <c r="K59" s="139"/>
      <c r="L59" s="139"/>
      <c r="M59" s="139"/>
      <c r="N59" s="139"/>
      <c r="O59" s="168"/>
    </row>
    <row r="60" spans="1:15" x14ac:dyDescent="0.2"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8"/>
    </row>
    <row r="61" spans="1:15" x14ac:dyDescent="0.2"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8"/>
    </row>
    <row r="62" spans="1:15" x14ac:dyDescent="0.2"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8"/>
    </row>
    <row r="63" spans="1:15" x14ac:dyDescent="0.2">
      <c r="A63" s="118" t="s">
        <v>65</v>
      </c>
      <c r="B63" s="169"/>
      <c r="C63" s="169"/>
      <c r="D63" s="169"/>
      <c r="O63" s="168"/>
    </row>
    <row r="64" spans="1:15" x14ac:dyDescent="0.2">
      <c r="A64" s="110" t="s">
        <v>66</v>
      </c>
      <c r="B64" s="110"/>
      <c r="C64" s="110"/>
      <c r="D64" s="110"/>
      <c r="E64" s="110"/>
      <c r="F64" s="170"/>
      <c r="G64" s="170"/>
      <c r="H64" s="170"/>
      <c r="I64" s="170"/>
      <c r="J64" s="170"/>
      <c r="K64" s="170"/>
      <c r="L64" s="170"/>
      <c r="M64" s="170"/>
      <c r="N64" s="170"/>
      <c r="O64" s="168"/>
    </row>
    <row r="65" spans="1:16" x14ac:dyDescent="0.2">
      <c r="A65" s="118" t="s">
        <v>67</v>
      </c>
      <c r="C65" s="139">
        <f t="shared" ref="C65:L65" si="14">SUM(C9+C6+C12+C15+C18+C37+C40+C43+C25+C31+C34+C46+C28+C22)</f>
        <v>137539.94184511923</v>
      </c>
      <c r="D65" s="139">
        <f t="shared" si="14"/>
        <v>145131.60043951444</v>
      </c>
      <c r="E65" s="139">
        <f t="shared" si="14"/>
        <v>361723.86062664445</v>
      </c>
      <c r="F65" s="139">
        <f t="shared" si="14"/>
        <v>260753.79802151202</v>
      </c>
      <c r="G65" s="139">
        <f t="shared" si="14"/>
        <v>233826.67440249783</v>
      </c>
      <c r="H65" s="139">
        <f t="shared" si="14"/>
        <v>200240.87880562706</v>
      </c>
      <c r="I65" s="139">
        <f t="shared" si="14"/>
        <v>185408.421626575</v>
      </c>
      <c r="J65" s="139">
        <f t="shared" si="14"/>
        <v>219988.11552364315</v>
      </c>
      <c r="K65" s="139">
        <f t="shared" si="14"/>
        <v>256968.09636233016</v>
      </c>
      <c r="L65" s="139">
        <f t="shared" si="14"/>
        <v>-20685.695514634775</v>
      </c>
      <c r="M65" s="139">
        <f>SUM(M9+M6+M12+M15+M18+M37+M43+M25+M31+M34+M46+M28+M22)</f>
        <v>168752.10940660728</v>
      </c>
      <c r="N65" s="139">
        <f>SUM(N9+N6+N12+N15+N18+N37+N40+N43+N25+N31+N34+N46+N28+N22)</f>
        <v>144886.0599975466</v>
      </c>
      <c r="O65" s="139">
        <f>SUM(O9+O6+O12+O15+O18+O37+O40+O43+O25+O31+O34+O46+O28+O22)</f>
        <v>2266678.7732864539</v>
      </c>
      <c r="P65" s="139">
        <f>SUM(C65:N65)</f>
        <v>2294533.8615429825</v>
      </c>
    </row>
    <row r="66" spans="1:16" x14ac:dyDescent="0.2">
      <c r="A66" s="118" t="s">
        <v>68</v>
      </c>
      <c r="C66" s="169">
        <f t="shared" ref="C66:L66" si="15">SUM(C10+C7+C13+C16+C19+C38+C41+C44+C26+C32+C35+C47+C29+C23)</f>
        <v>20681.989999999998</v>
      </c>
      <c r="D66" s="169">
        <f t="shared" si="15"/>
        <v>23266.760000000002</v>
      </c>
      <c r="E66" s="171">
        <f t="shared" si="15"/>
        <v>55392.509999999995</v>
      </c>
      <c r="F66" s="171">
        <f t="shared" si="15"/>
        <v>42684.460000000006</v>
      </c>
      <c r="G66" s="171">
        <f t="shared" si="15"/>
        <v>34627.79</v>
      </c>
      <c r="H66" s="171">
        <f t="shared" si="15"/>
        <v>28774.690000000006</v>
      </c>
      <c r="I66" s="171">
        <f t="shared" si="15"/>
        <v>26859.17</v>
      </c>
      <c r="J66" s="171">
        <f t="shared" si="15"/>
        <v>32437.279999999999</v>
      </c>
      <c r="K66" s="171">
        <f t="shared" si="15"/>
        <v>36926.42</v>
      </c>
      <c r="L66" s="171">
        <f t="shared" si="15"/>
        <v>-2972.5399999999972</v>
      </c>
      <c r="M66" s="171">
        <f>SUM(M10+M7+M13+M16+M19+M38+M41+M44+M26+M32+M35+M47+M29+M23)</f>
        <v>24752.439999999995</v>
      </c>
      <c r="N66" s="171">
        <f>SUM(N10+N7+N13+N16+N19+N38+N41+N44+N26+N32+N35+N47+N29+N23)</f>
        <v>20820.170000000006</v>
      </c>
      <c r="O66" s="171">
        <f>SUM(O10+O7+O13+O16+O19+O38+O41+O44+O26+O32+O35+O47+O29+O23)</f>
        <v>344251.14</v>
      </c>
      <c r="P66" s="171">
        <f>SUM(C66:N66)</f>
        <v>344251.14</v>
      </c>
    </row>
    <row r="67" spans="1:16" x14ac:dyDescent="0.2">
      <c r="K67" s="172"/>
      <c r="N67" s="142"/>
    </row>
    <row r="68" spans="1:16" x14ac:dyDescent="0.2">
      <c r="A68" s="96" t="s">
        <v>34</v>
      </c>
      <c r="I68" s="118" t="s">
        <v>16</v>
      </c>
    </row>
    <row r="69" spans="1:16" x14ac:dyDescent="0.2">
      <c r="A69" s="96" t="s">
        <v>69</v>
      </c>
    </row>
    <row r="70" spans="1:16" x14ac:dyDescent="0.2">
      <c r="A70" s="118" t="s">
        <v>70</v>
      </c>
    </row>
    <row r="74" spans="1:16" x14ac:dyDescent="0.2">
      <c r="P74" s="139"/>
    </row>
    <row r="75" spans="1:16" x14ac:dyDescent="0.2">
      <c r="P75" s="173"/>
    </row>
  </sheetData>
  <printOptions horizontalCentered="1" verticalCentered="1"/>
  <pageMargins left="0" right="0" top="0.5" bottom="0.5" header="0.5" footer="0.5"/>
  <pageSetup paperSize="0" orientation="portrait" horizontalDpi="0" verticalDpi="0" copie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topLeftCell="A13" zoomScale="120" zoomScaleNormal="120" workbookViewId="0">
      <pane xSplit="1" topLeftCell="B1" activePane="topRight" state="frozen"/>
      <selection pane="topRight" activeCell="J12" sqref="J12"/>
    </sheetView>
  </sheetViews>
  <sheetFormatPr defaultColWidth="9.140625" defaultRowHeight="12.75" x14ac:dyDescent="0.2"/>
  <cols>
    <col min="1" max="1" width="17.42578125" style="128" customWidth="1"/>
    <col min="2" max="2" width="22.85546875" style="128" customWidth="1"/>
    <col min="3" max="3" width="9.5703125" style="128" hidden="1" customWidth="1"/>
    <col min="4" max="4" width="9.28515625" style="128" hidden="1" customWidth="1"/>
    <col min="5" max="5" width="10.140625" style="84" hidden="1" customWidth="1"/>
    <col min="6" max="6" width="9.140625" style="128" hidden="1" customWidth="1"/>
    <col min="7" max="7" width="10" style="128" hidden="1" customWidth="1"/>
    <col min="8" max="8" width="10.42578125" style="128" hidden="1" customWidth="1"/>
    <col min="9" max="9" width="10" style="128" hidden="1" customWidth="1"/>
    <col min="10" max="10" width="10" style="128" customWidth="1"/>
    <col min="11" max="11" width="9.5703125" style="128" hidden="1" customWidth="1"/>
    <col min="12" max="12" width="8.7109375" style="128" hidden="1" customWidth="1"/>
    <col min="13" max="13" width="9.140625" style="128" hidden="1" customWidth="1"/>
    <col min="14" max="14" width="9" style="128" hidden="1" customWidth="1"/>
    <col min="15" max="15" width="14.140625" style="128" hidden="1" customWidth="1"/>
    <col min="16" max="16" width="9.5703125" style="128" hidden="1" customWidth="1"/>
    <col min="17" max="18" width="9.140625" style="128" customWidth="1"/>
    <col min="19" max="16384" width="9.140625" style="128"/>
  </cols>
  <sheetData>
    <row r="1" spans="1:17" ht="15.75" customHeight="1" x14ac:dyDescent="0.25">
      <c r="A1" s="21" t="s">
        <v>71</v>
      </c>
    </row>
    <row r="2" spans="1:17" x14ac:dyDescent="0.2">
      <c r="H2" s="84"/>
    </row>
    <row r="3" spans="1:17" s="97" customFormat="1" ht="12" customHeight="1" x14ac:dyDescent="0.2">
      <c r="A3" s="51" t="s">
        <v>3</v>
      </c>
      <c r="B3" s="114" t="s">
        <v>4</v>
      </c>
      <c r="C3" s="159">
        <f>'Utility Summary'!C3</f>
        <v>42930</v>
      </c>
      <c r="D3" s="159">
        <f>'Utility Summary'!D3</f>
        <v>42961</v>
      </c>
      <c r="E3" s="159">
        <f>'Utility Summary'!E3</f>
        <v>42992</v>
      </c>
      <c r="F3" s="159">
        <f>'Utility Summary'!F3</f>
        <v>43022</v>
      </c>
      <c r="G3" s="159">
        <f>'Utility Summary'!G3</f>
        <v>43053</v>
      </c>
      <c r="H3" s="159">
        <f>'Utility Summary'!H3</f>
        <v>43083</v>
      </c>
      <c r="I3" s="159">
        <f>'Utility Summary'!I3</f>
        <v>43114</v>
      </c>
      <c r="J3" s="159">
        <f>'Utility Summary'!J3</f>
        <v>43145</v>
      </c>
      <c r="K3" s="159">
        <f>'Utility Summary'!K3</f>
        <v>43173</v>
      </c>
      <c r="L3" s="159">
        <f>'Utility Summary'!L3</f>
        <v>43204</v>
      </c>
      <c r="M3" s="159">
        <f>'Utility Summary'!M3</f>
        <v>43234</v>
      </c>
      <c r="N3" s="159">
        <f>'Utility Summary'!N3</f>
        <v>43265</v>
      </c>
      <c r="O3" s="82" t="s">
        <v>1</v>
      </c>
      <c r="P3" s="66" t="s">
        <v>5</v>
      </c>
    </row>
    <row r="4" spans="1:17" s="97" customFormat="1" ht="12.75" customHeight="1" x14ac:dyDescent="0.2">
      <c r="B4" s="174" t="s">
        <v>46</v>
      </c>
      <c r="C4" s="175">
        <v>42956</v>
      </c>
      <c r="D4" s="175">
        <v>42979</v>
      </c>
      <c r="E4" s="176">
        <f>Electricity!E4</f>
        <v>43013</v>
      </c>
      <c r="F4" s="176">
        <f>Electricity!F4</f>
        <v>42675</v>
      </c>
      <c r="G4" s="176">
        <f>Electricity!G4</f>
        <v>42705</v>
      </c>
      <c r="H4" s="176">
        <f>Electricity!H4</f>
        <v>42740</v>
      </c>
      <c r="I4" s="176">
        <f>Electricity!I4</f>
        <v>43101</v>
      </c>
      <c r="J4" s="176">
        <f>Electricity!J4</f>
        <v>43160</v>
      </c>
      <c r="K4" s="176">
        <f>Electricity!K4</f>
        <v>42826</v>
      </c>
      <c r="L4" s="176">
        <f>Electricity!L4</f>
        <v>42492</v>
      </c>
      <c r="M4" s="176">
        <f>Electricity!M4</f>
        <v>42537</v>
      </c>
      <c r="N4" s="176">
        <f>Electricity!N4</f>
        <v>42190</v>
      </c>
      <c r="O4" s="176">
        <f>Electricity!O4</f>
        <v>0</v>
      </c>
      <c r="P4" s="176">
        <f>Electricity!P4</f>
        <v>0</v>
      </c>
    </row>
    <row r="5" spans="1:17" s="97" customFormat="1" ht="22.5" customHeight="1" x14ac:dyDescent="0.2">
      <c r="A5" s="122"/>
      <c r="B5" s="67" t="s">
        <v>72</v>
      </c>
      <c r="C5" s="177">
        <f>16295.37/20984</f>
        <v>0.77656166603126198</v>
      </c>
      <c r="D5" s="178">
        <f>17365.53/22289</f>
        <v>0.77910763156714069</v>
      </c>
      <c r="E5" s="178">
        <f>21043.38/29492</f>
        <v>0.71352841448528415</v>
      </c>
      <c r="F5" s="179">
        <f>27676.8/37161</f>
        <v>0.74478081860014533</v>
      </c>
      <c r="G5" s="179">
        <f>42739.52/51638</f>
        <v>0.82767574267012656</v>
      </c>
      <c r="H5" s="179">
        <f>69858.14/81976</f>
        <v>0.85217795452327505</v>
      </c>
      <c r="I5" s="179">
        <f>83220.82/94904</f>
        <v>0.87689475680687856</v>
      </c>
      <c r="J5" s="179">
        <f>67910.85/74496</f>
        <v>0.91160397873711352</v>
      </c>
      <c r="K5" s="179">
        <f>49386.98/55634</f>
        <v>0.88771219038717342</v>
      </c>
      <c r="L5" s="179">
        <f>46320.12/(55185)</f>
        <v>0.83936069584126127</v>
      </c>
      <c r="M5" s="179">
        <f>24646.85/29498</f>
        <v>0.83554308766696039</v>
      </c>
      <c r="N5" s="179">
        <f>16078.41/18907</f>
        <v>0.85039456286031623</v>
      </c>
      <c r="O5" s="78"/>
      <c r="P5" s="67"/>
    </row>
    <row r="6" spans="1:17" s="97" customFormat="1" ht="11.25" customHeight="1" x14ac:dyDescent="0.2">
      <c r="A6" s="51"/>
      <c r="B6" s="114"/>
      <c r="C6" s="114"/>
      <c r="D6" s="114"/>
      <c r="E6" s="66"/>
      <c r="F6" s="66"/>
      <c r="G6" s="66"/>
      <c r="H6" s="66"/>
      <c r="I6" s="66"/>
      <c r="J6" s="66"/>
      <c r="K6" s="66"/>
      <c r="L6" s="66"/>
      <c r="M6" s="66"/>
      <c r="N6" s="66"/>
      <c r="O6" s="79"/>
    </row>
    <row r="7" spans="1:17" s="97" customFormat="1" ht="24" customHeight="1" x14ac:dyDescent="0.2">
      <c r="A7" s="120" t="s">
        <v>73</v>
      </c>
      <c r="B7" s="97" t="s">
        <v>74</v>
      </c>
      <c r="C7" s="112">
        <f>56099</f>
        <v>56099</v>
      </c>
      <c r="D7" s="113">
        <v>57677</v>
      </c>
      <c r="E7" s="113">
        <v>60444</v>
      </c>
      <c r="F7" s="71">
        <v>63416</v>
      </c>
      <c r="G7" s="113">
        <v>67246</v>
      </c>
      <c r="H7" s="113">
        <v>70901</v>
      </c>
      <c r="I7" s="113">
        <v>74582</v>
      </c>
      <c r="J7" s="113">
        <v>75150</v>
      </c>
      <c r="K7" s="113">
        <v>42065</v>
      </c>
      <c r="L7" s="71">
        <v>50373</v>
      </c>
      <c r="M7" s="113">
        <v>54429</v>
      </c>
      <c r="N7" s="133">
        <v>55048</v>
      </c>
      <c r="O7" s="80"/>
      <c r="P7" s="140"/>
    </row>
    <row r="8" spans="1:17" s="97" customFormat="1" ht="22.5" customHeight="1" x14ac:dyDescent="0.2">
      <c r="A8" s="120"/>
      <c r="B8" s="97" t="s">
        <v>75</v>
      </c>
      <c r="C8" s="113">
        <f>C7-55048</f>
        <v>1051</v>
      </c>
      <c r="D8" s="123">
        <f>D7-C7</f>
        <v>1578</v>
      </c>
      <c r="E8" s="123">
        <f>E7-D7</f>
        <v>2767</v>
      </c>
      <c r="F8" s="123">
        <f>F7-E7</f>
        <v>2972</v>
      </c>
      <c r="G8" s="123">
        <f>G7-F7</f>
        <v>3830</v>
      </c>
      <c r="H8" s="113">
        <f>8338</f>
        <v>8338</v>
      </c>
      <c r="I8" s="123">
        <f t="shared" ref="I8:N8" si="0">I7-H7</f>
        <v>3681</v>
      </c>
      <c r="J8" s="113">
        <f t="shared" si="0"/>
        <v>568</v>
      </c>
      <c r="K8" s="113">
        <f t="shared" si="0"/>
        <v>-33085</v>
      </c>
      <c r="L8" s="113">
        <f t="shared" si="0"/>
        <v>8308</v>
      </c>
      <c r="M8" s="113">
        <f t="shared" si="0"/>
        <v>4056</v>
      </c>
      <c r="N8" s="113">
        <f t="shared" si="0"/>
        <v>619</v>
      </c>
      <c r="O8" s="81">
        <f>SUM(C8:N8)</f>
        <v>4683</v>
      </c>
      <c r="P8" s="140"/>
    </row>
    <row r="9" spans="1:17" s="97" customFormat="1" ht="22.5" customHeight="1" x14ac:dyDescent="0.2">
      <c r="A9" s="120"/>
      <c r="B9" s="97" t="s">
        <v>76</v>
      </c>
      <c r="C9" s="153">
        <f t="shared" ref="C9:N9" si="1">ROUND(C8*C$5,2)</f>
        <v>816.17</v>
      </c>
      <c r="D9" s="153">
        <f t="shared" si="1"/>
        <v>1229.43</v>
      </c>
      <c r="E9" s="153">
        <f t="shared" si="1"/>
        <v>1974.33</v>
      </c>
      <c r="F9" s="153">
        <f t="shared" si="1"/>
        <v>2213.4899999999998</v>
      </c>
      <c r="G9" s="153">
        <f t="shared" si="1"/>
        <v>3170</v>
      </c>
      <c r="H9" s="153">
        <f t="shared" si="1"/>
        <v>7105.46</v>
      </c>
      <c r="I9" s="153">
        <f t="shared" si="1"/>
        <v>3227.85</v>
      </c>
      <c r="J9" s="153">
        <f t="shared" si="1"/>
        <v>517.79</v>
      </c>
      <c r="K9" s="153">
        <f t="shared" si="1"/>
        <v>-29369.96</v>
      </c>
      <c r="L9" s="153">
        <f t="shared" si="1"/>
        <v>6973.41</v>
      </c>
      <c r="M9" s="153">
        <f t="shared" si="1"/>
        <v>3388.96</v>
      </c>
      <c r="N9" s="153">
        <f t="shared" si="1"/>
        <v>526.39</v>
      </c>
      <c r="O9" s="180">
        <f>SUM(C9:N9)</f>
        <v>1773.3200000000011</v>
      </c>
      <c r="P9" s="140"/>
    </row>
    <row r="10" spans="1:17" s="97" customFormat="1" ht="11.25" customHeight="1" x14ac:dyDescent="0.2">
      <c r="A10" s="120"/>
      <c r="C10" s="181"/>
      <c r="D10" s="181"/>
      <c r="E10" s="181"/>
      <c r="F10" s="182"/>
      <c r="G10" s="182"/>
      <c r="H10" s="182"/>
      <c r="I10" s="182"/>
      <c r="J10" s="182"/>
      <c r="K10" s="182"/>
      <c r="L10" s="182"/>
      <c r="M10" s="182"/>
      <c r="N10" s="182"/>
      <c r="O10" s="180"/>
      <c r="P10" s="140"/>
    </row>
    <row r="11" spans="1:17" s="97" customFormat="1" ht="22.5" customHeight="1" x14ac:dyDescent="0.2">
      <c r="A11" s="120" t="s">
        <v>77</v>
      </c>
      <c r="B11" s="97" t="s">
        <v>78</v>
      </c>
      <c r="C11" s="112">
        <v>44738</v>
      </c>
      <c r="D11" s="113">
        <v>44738</v>
      </c>
      <c r="E11" s="113">
        <v>44738</v>
      </c>
      <c r="F11" s="113">
        <v>44738</v>
      </c>
      <c r="G11" s="113">
        <v>44738</v>
      </c>
      <c r="H11" s="113">
        <v>44738</v>
      </c>
      <c r="I11" s="71">
        <v>0</v>
      </c>
      <c r="J11" s="71">
        <v>731</v>
      </c>
      <c r="K11" s="71">
        <v>44738</v>
      </c>
      <c r="L11" s="71">
        <v>44738</v>
      </c>
      <c r="M11" s="71">
        <v>44738</v>
      </c>
      <c r="N11" s="71">
        <v>44738</v>
      </c>
      <c r="O11" s="80"/>
      <c r="Q11" s="83"/>
    </row>
    <row r="12" spans="1:17" s="97" customFormat="1" ht="22.5" customHeight="1" x14ac:dyDescent="0.2">
      <c r="A12" s="120"/>
      <c r="B12" s="97" t="s">
        <v>75</v>
      </c>
      <c r="C12" s="113">
        <f>(103+79)/2</f>
        <v>91</v>
      </c>
      <c r="D12" s="123">
        <f>(195+185)/2</f>
        <v>190</v>
      </c>
      <c r="E12" s="123">
        <f>(635+433)/2</f>
        <v>534</v>
      </c>
      <c r="F12" s="123">
        <f>(576.5+633)/2</f>
        <v>604.75</v>
      </c>
      <c r="G12" s="123">
        <f>AVERAGE(454,476)</f>
        <v>465</v>
      </c>
      <c r="H12" s="123">
        <v>366</v>
      </c>
      <c r="I12" s="123">
        <f>AVERAGE(514,313)</f>
        <v>413.5</v>
      </c>
      <c r="J12" s="123">
        <f>J11-I11</f>
        <v>731</v>
      </c>
      <c r="K12" s="123">
        <f>(425+344)/2</f>
        <v>384.5</v>
      </c>
      <c r="L12" s="123">
        <f>(430+462)/2</f>
        <v>446</v>
      </c>
      <c r="M12" s="123">
        <f>(279+254)/2</f>
        <v>266.5</v>
      </c>
      <c r="N12" s="123">
        <v>84</v>
      </c>
      <c r="O12" s="81">
        <f>SUM(C12:N12)</f>
        <v>4576.25</v>
      </c>
      <c r="P12" s="140"/>
    </row>
    <row r="13" spans="1:17" s="55" customFormat="1" ht="22.5" customHeight="1" x14ac:dyDescent="0.2">
      <c r="A13" s="121"/>
      <c r="B13" s="97" t="s">
        <v>76</v>
      </c>
      <c r="C13" s="153">
        <f t="shared" ref="C13:M13" si="2">ROUND(C12*C$5,2)</f>
        <v>70.67</v>
      </c>
      <c r="D13" s="153">
        <f t="shared" si="2"/>
        <v>148.03</v>
      </c>
      <c r="E13" s="153">
        <f t="shared" si="2"/>
        <v>381.02</v>
      </c>
      <c r="F13" s="153">
        <f t="shared" si="2"/>
        <v>450.41</v>
      </c>
      <c r="G13" s="153">
        <f t="shared" si="2"/>
        <v>384.87</v>
      </c>
      <c r="H13" s="153">
        <f t="shared" si="2"/>
        <v>311.89999999999998</v>
      </c>
      <c r="I13" s="153">
        <f t="shared" si="2"/>
        <v>362.6</v>
      </c>
      <c r="J13" s="153">
        <f t="shared" si="2"/>
        <v>666.38</v>
      </c>
      <c r="K13" s="153">
        <f t="shared" si="2"/>
        <v>341.33</v>
      </c>
      <c r="L13" s="153">
        <f t="shared" si="2"/>
        <v>374.35</v>
      </c>
      <c r="M13" s="153">
        <f t="shared" si="2"/>
        <v>222.67</v>
      </c>
      <c r="N13" s="153">
        <f>N12*N$5</f>
        <v>71.433143280266563</v>
      </c>
      <c r="O13" s="180">
        <f>SUM(C13:N13)</f>
        <v>3785.6631432802665</v>
      </c>
      <c r="P13" s="73"/>
    </row>
    <row r="14" spans="1:17" s="55" customFormat="1" x14ac:dyDescent="0.2">
      <c r="A14" s="121"/>
      <c r="B14" s="97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0"/>
      <c r="P14" s="73"/>
    </row>
    <row r="15" spans="1:17" s="55" customFormat="1" ht="22.5" customHeight="1" x14ac:dyDescent="0.2">
      <c r="A15" s="74" t="s">
        <v>23</v>
      </c>
      <c r="B15" s="97" t="s">
        <v>74</v>
      </c>
      <c r="C15" s="112">
        <v>74260</v>
      </c>
      <c r="D15" s="113">
        <v>74290</v>
      </c>
      <c r="E15" s="115">
        <v>74657</v>
      </c>
      <c r="F15" s="71">
        <v>75075</v>
      </c>
      <c r="G15" s="71">
        <v>75554</v>
      </c>
      <c r="H15" s="71">
        <v>75991</v>
      </c>
      <c r="I15" s="71">
        <v>76515</v>
      </c>
      <c r="J15" s="71">
        <v>77223</v>
      </c>
      <c r="K15" s="71">
        <v>73264</v>
      </c>
      <c r="L15" s="71">
        <v>73786</v>
      </c>
      <c r="M15" s="71">
        <v>74026</v>
      </c>
      <c r="N15" s="71">
        <v>74095</v>
      </c>
      <c r="O15" s="180"/>
      <c r="P15" s="73"/>
    </row>
    <row r="16" spans="1:17" s="55" customFormat="1" ht="22.5" customHeight="1" x14ac:dyDescent="0.2">
      <c r="A16" s="74" t="s">
        <v>24</v>
      </c>
      <c r="B16" s="97" t="s">
        <v>75</v>
      </c>
      <c r="C16" s="115">
        <f>((C15-74095)/54)*31</f>
        <v>94.722222222222214</v>
      </c>
      <c r="D16" s="136">
        <f>(D15-74095-C16)</f>
        <v>100.27777777777779</v>
      </c>
      <c r="E16" s="123">
        <f t="shared" ref="E16:N16" si="3">E15-D15</f>
        <v>367</v>
      </c>
      <c r="F16" s="123">
        <f t="shared" si="3"/>
        <v>418</v>
      </c>
      <c r="G16" s="123">
        <f t="shared" si="3"/>
        <v>479</v>
      </c>
      <c r="H16" s="123">
        <f t="shared" si="3"/>
        <v>437</v>
      </c>
      <c r="I16" s="123">
        <f t="shared" si="3"/>
        <v>524</v>
      </c>
      <c r="J16" s="123">
        <f t="shared" si="3"/>
        <v>708</v>
      </c>
      <c r="K16" s="123">
        <f t="shared" si="3"/>
        <v>-3959</v>
      </c>
      <c r="L16" s="123">
        <f t="shared" si="3"/>
        <v>522</v>
      </c>
      <c r="M16" s="123">
        <f t="shared" si="3"/>
        <v>240</v>
      </c>
      <c r="N16" s="123">
        <f t="shared" si="3"/>
        <v>69</v>
      </c>
      <c r="O16" s="81">
        <f>SUM(C16:N16)</f>
        <v>0</v>
      </c>
      <c r="P16" s="73"/>
    </row>
    <row r="17" spans="1:16" s="55" customFormat="1" ht="22.5" customHeight="1" x14ac:dyDescent="0.2">
      <c r="A17" s="121"/>
      <c r="B17" s="97" t="s">
        <v>76</v>
      </c>
      <c r="C17" s="153">
        <f t="shared" ref="C17:M17" si="4">ROUND(C16*C$5,2)</f>
        <v>73.56</v>
      </c>
      <c r="D17" s="153">
        <f t="shared" si="4"/>
        <v>78.13</v>
      </c>
      <c r="E17" s="153">
        <f t="shared" si="4"/>
        <v>261.86</v>
      </c>
      <c r="F17" s="153">
        <f t="shared" si="4"/>
        <v>311.32</v>
      </c>
      <c r="G17" s="153">
        <f t="shared" si="4"/>
        <v>396.46</v>
      </c>
      <c r="H17" s="153">
        <f t="shared" si="4"/>
        <v>372.4</v>
      </c>
      <c r="I17" s="153">
        <f t="shared" si="4"/>
        <v>459.49</v>
      </c>
      <c r="J17" s="153">
        <f t="shared" si="4"/>
        <v>645.41999999999996</v>
      </c>
      <c r="K17" s="153">
        <f t="shared" si="4"/>
        <v>-3514.45</v>
      </c>
      <c r="L17" s="153">
        <f t="shared" si="4"/>
        <v>438.15</v>
      </c>
      <c r="M17" s="153">
        <f t="shared" si="4"/>
        <v>200.53</v>
      </c>
      <c r="N17" s="183">
        <f>N16*N$5</f>
        <v>58.67722483736182</v>
      </c>
      <c r="O17" s="180">
        <f>SUM(C17:N17)</f>
        <v>-218.45277516263818</v>
      </c>
      <c r="P17" s="73"/>
    </row>
    <row r="18" spans="1:16" s="55" customFormat="1" x14ac:dyDescent="0.2">
      <c r="A18" s="121"/>
      <c r="B18" s="97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0"/>
      <c r="P18" s="73"/>
    </row>
    <row r="19" spans="1:16" s="55" customFormat="1" x14ac:dyDescent="0.2">
      <c r="A19" s="74" t="s">
        <v>25</v>
      </c>
      <c r="B19" s="174" t="s">
        <v>46</v>
      </c>
      <c r="C19" s="117">
        <f t="shared" ref="C19:K19" si="5">C4</f>
        <v>42956</v>
      </c>
      <c r="D19" s="117">
        <f t="shared" si="5"/>
        <v>42979</v>
      </c>
      <c r="E19" s="117">
        <f t="shared" si="5"/>
        <v>43013</v>
      </c>
      <c r="F19" s="117">
        <f t="shared" si="5"/>
        <v>42675</v>
      </c>
      <c r="G19" s="117">
        <f t="shared" si="5"/>
        <v>42705</v>
      </c>
      <c r="H19" s="117">
        <f t="shared" si="5"/>
        <v>42740</v>
      </c>
      <c r="I19" s="117">
        <f t="shared" si="5"/>
        <v>43101</v>
      </c>
      <c r="J19" s="117">
        <f t="shared" si="5"/>
        <v>43160</v>
      </c>
      <c r="K19" s="117">
        <f t="shared" si="5"/>
        <v>42826</v>
      </c>
      <c r="L19" s="117">
        <f>$L$4</f>
        <v>42492</v>
      </c>
      <c r="M19" s="117">
        <f>$M$4</f>
        <v>42537</v>
      </c>
      <c r="N19" s="117">
        <v>42186</v>
      </c>
      <c r="O19" s="180"/>
      <c r="P19" s="73"/>
    </row>
    <row r="20" spans="1:16" s="74" customFormat="1" ht="22.5" customHeight="1" x14ac:dyDescent="0.2">
      <c r="A20" s="74" t="s">
        <v>26</v>
      </c>
      <c r="B20" s="97" t="s">
        <v>74</v>
      </c>
      <c r="C20" s="112">
        <v>60267</v>
      </c>
      <c r="D20" s="112">
        <v>60355</v>
      </c>
      <c r="E20" s="112">
        <v>60845</v>
      </c>
      <c r="F20" s="111">
        <v>61548</v>
      </c>
      <c r="G20" s="111">
        <v>62740</v>
      </c>
      <c r="H20" s="111">
        <v>64496</v>
      </c>
      <c r="I20" s="111">
        <v>65923</v>
      </c>
      <c r="J20" s="111">
        <v>67699</v>
      </c>
      <c r="K20" s="111">
        <v>58967</v>
      </c>
      <c r="L20" s="111">
        <v>59721</v>
      </c>
      <c r="M20" s="111">
        <v>60024</v>
      </c>
      <c r="N20" s="111">
        <v>60118</v>
      </c>
      <c r="O20" s="184"/>
    </row>
    <row r="21" spans="1:16" s="74" customFormat="1" ht="22.5" customHeight="1" x14ac:dyDescent="0.2">
      <c r="B21" s="97" t="s">
        <v>75</v>
      </c>
      <c r="C21" s="116">
        <f>((C20-60118)/50)*31</f>
        <v>92.38</v>
      </c>
      <c r="D21" s="123">
        <f>D20-60118-C21</f>
        <v>144.62</v>
      </c>
      <c r="E21" s="123">
        <f t="shared" ref="E21:N21" si="6">E20-D20</f>
        <v>490</v>
      </c>
      <c r="F21" s="123">
        <f t="shared" si="6"/>
        <v>703</v>
      </c>
      <c r="G21" s="123">
        <f t="shared" si="6"/>
        <v>1192</v>
      </c>
      <c r="H21" s="123">
        <f t="shared" si="6"/>
        <v>1756</v>
      </c>
      <c r="I21" s="123">
        <f t="shared" si="6"/>
        <v>1427</v>
      </c>
      <c r="J21" s="123">
        <f t="shared" si="6"/>
        <v>1776</v>
      </c>
      <c r="K21" s="123">
        <f t="shared" si="6"/>
        <v>-8732</v>
      </c>
      <c r="L21" s="123">
        <f t="shared" si="6"/>
        <v>754</v>
      </c>
      <c r="M21" s="123">
        <f t="shared" si="6"/>
        <v>303</v>
      </c>
      <c r="N21" s="123">
        <f t="shared" si="6"/>
        <v>94</v>
      </c>
      <c r="O21" s="81">
        <f>SUM(C21:N21)</f>
        <v>0</v>
      </c>
    </row>
    <row r="22" spans="1:16" s="74" customFormat="1" ht="22.5" customHeight="1" x14ac:dyDescent="0.2">
      <c r="B22" s="97" t="s">
        <v>76</v>
      </c>
      <c r="C22" s="153">
        <f t="shared" ref="C22:N22" si="7">ROUND(C21*C$5,2)</f>
        <v>71.739999999999995</v>
      </c>
      <c r="D22" s="153">
        <f t="shared" si="7"/>
        <v>112.67</v>
      </c>
      <c r="E22" s="153">
        <f t="shared" si="7"/>
        <v>349.63</v>
      </c>
      <c r="F22" s="153">
        <f t="shared" si="7"/>
        <v>523.58000000000004</v>
      </c>
      <c r="G22" s="153">
        <f t="shared" si="7"/>
        <v>986.59</v>
      </c>
      <c r="H22" s="153">
        <f t="shared" si="7"/>
        <v>1496.42</v>
      </c>
      <c r="I22" s="153">
        <f t="shared" si="7"/>
        <v>1251.33</v>
      </c>
      <c r="J22" s="153">
        <f t="shared" si="7"/>
        <v>1619.01</v>
      </c>
      <c r="K22" s="153">
        <f t="shared" si="7"/>
        <v>-7751.5</v>
      </c>
      <c r="L22" s="153">
        <f t="shared" si="7"/>
        <v>632.88</v>
      </c>
      <c r="M22" s="153">
        <f t="shared" si="7"/>
        <v>253.17</v>
      </c>
      <c r="N22" s="153">
        <f t="shared" si="7"/>
        <v>79.94</v>
      </c>
      <c r="O22" s="184">
        <f>SUM(C22:N22)</f>
        <v>-374.53999999999979</v>
      </c>
    </row>
    <row r="23" spans="1:16" s="74" customFormat="1" ht="11.25" customHeight="1" x14ac:dyDescent="0.2">
      <c r="B23" s="97"/>
      <c r="C23" s="185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4"/>
    </row>
    <row r="24" spans="1:16" s="74" customFormat="1" ht="11.25" customHeight="1" x14ac:dyDescent="0.2">
      <c r="A24" s="74" t="s">
        <v>27</v>
      </c>
      <c r="B24" s="174" t="s">
        <v>46</v>
      </c>
      <c r="C24" s="117">
        <f t="shared" ref="C24:K24" si="8">C4</f>
        <v>42956</v>
      </c>
      <c r="D24" s="117">
        <f t="shared" si="8"/>
        <v>42979</v>
      </c>
      <c r="E24" s="117">
        <f t="shared" si="8"/>
        <v>43013</v>
      </c>
      <c r="F24" s="117">
        <f t="shared" si="8"/>
        <v>42675</v>
      </c>
      <c r="G24" s="117">
        <f t="shared" si="8"/>
        <v>42705</v>
      </c>
      <c r="H24" s="117">
        <f t="shared" si="8"/>
        <v>42740</v>
      </c>
      <c r="I24" s="117">
        <f t="shared" si="8"/>
        <v>43101</v>
      </c>
      <c r="J24" s="117">
        <f t="shared" si="8"/>
        <v>43160</v>
      </c>
      <c r="K24" s="117">
        <f t="shared" si="8"/>
        <v>42826</v>
      </c>
      <c r="L24" s="117">
        <f>$L$4</f>
        <v>42492</v>
      </c>
      <c r="M24" s="117">
        <f>$M$4</f>
        <v>42537</v>
      </c>
      <c r="N24" s="117">
        <v>42186</v>
      </c>
      <c r="O24" s="184"/>
    </row>
    <row r="25" spans="1:16" s="74" customFormat="1" ht="22.5" customHeight="1" x14ac:dyDescent="0.2">
      <c r="A25" s="74" t="s">
        <v>28</v>
      </c>
      <c r="B25" s="97" t="s">
        <v>74</v>
      </c>
      <c r="C25" s="112">
        <v>52731</v>
      </c>
      <c r="D25" s="112">
        <v>52838</v>
      </c>
      <c r="E25" s="112">
        <v>53433</v>
      </c>
      <c r="F25" s="111">
        <v>54063</v>
      </c>
      <c r="G25" s="111">
        <v>54833</v>
      </c>
      <c r="H25" s="111">
        <v>55557</v>
      </c>
      <c r="I25" s="111">
        <v>56245</v>
      </c>
      <c r="J25" s="111">
        <v>57377</v>
      </c>
      <c r="K25" s="111">
        <v>51273</v>
      </c>
      <c r="L25" s="111">
        <v>51925</v>
      </c>
      <c r="M25" s="111">
        <v>52241</v>
      </c>
      <c r="N25" s="111">
        <v>52391</v>
      </c>
      <c r="O25" s="184"/>
    </row>
    <row r="26" spans="1:16" s="74" customFormat="1" ht="22.5" customHeight="1" x14ac:dyDescent="0.2">
      <c r="B26" s="97" t="s">
        <v>75</v>
      </c>
      <c r="C26" s="116">
        <f>((C25-52391)/50)*31</f>
        <v>210.79999999999998</v>
      </c>
      <c r="D26" s="123">
        <f>D25-C26-52391</f>
        <v>236.19999999999709</v>
      </c>
      <c r="E26" s="123">
        <f t="shared" ref="E26:N26" si="9">E25-D25</f>
        <v>595</v>
      </c>
      <c r="F26" s="123">
        <f t="shared" si="9"/>
        <v>630</v>
      </c>
      <c r="G26" s="123">
        <f t="shared" si="9"/>
        <v>770</v>
      </c>
      <c r="H26" s="123">
        <f t="shared" si="9"/>
        <v>724</v>
      </c>
      <c r="I26" s="123">
        <f t="shared" si="9"/>
        <v>688</v>
      </c>
      <c r="J26" s="123">
        <f t="shared" si="9"/>
        <v>1132</v>
      </c>
      <c r="K26" s="123">
        <f t="shared" si="9"/>
        <v>-6104</v>
      </c>
      <c r="L26" s="123">
        <f t="shared" si="9"/>
        <v>652</v>
      </c>
      <c r="M26" s="123">
        <f t="shared" si="9"/>
        <v>316</v>
      </c>
      <c r="N26" s="123">
        <f t="shared" si="9"/>
        <v>150</v>
      </c>
      <c r="O26" s="81">
        <f>SUM(C26:N26)</f>
        <v>-2.7284841053187847E-12</v>
      </c>
    </row>
    <row r="27" spans="1:16" s="74" customFormat="1" ht="22.5" customHeight="1" x14ac:dyDescent="0.2">
      <c r="B27" s="97" t="s">
        <v>76</v>
      </c>
      <c r="C27" s="153">
        <f t="shared" ref="C27:N27" si="10">ROUND(C26*C$5,2)</f>
        <v>163.69999999999999</v>
      </c>
      <c r="D27" s="153">
        <f t="shared" si="10"/>
        <v>184.03</v>
      </c>
      <c r="E27" s="153">
        <f t="shared" si="10"/>
        <v>424.55</v>
      </c>
      <c r="F27" s="153">
        <f t="shared" si="10"/>
        <v>469.21</v>
      </c>
      <c r="G27" s="153">
        <f t="shared" si="10"/>
        <v>637.30999999999995</v>
      </c>
      <c r="H27" s="153">
        <f t="shared" si="10"/>
        <v>616.98</v>
      </c>
      <c r="I27" s="153">
        <f t="shared" si="10"/>
        <v>603.29999999999995</v>
      </c>
      <c r="J27" s="153">
        <f t="shared" si="10"/>
        <v>1031.94</v>
      </c>
      <c r="K27" s="153">
        <f t="shared" si="10"/>
        <v>-5418.6</v>
      </c>
      <c r="L27" s="153">
        <f t="shared" si="10"/>
        <v>547.26</v>
      </c>
      <c r="M27" s="153">
        <f t="shared" si="10"/>
        <v>264.02999999999997</v>
      </c>
      <c r="N27" s="153">
        <f t="shared" si="10"/>
        <v>127.56</v>
      </c>
      <c r="O27" s="184">
        <f>SUM(C27:N27)</f>
        <v>-348.72999999999996</v>
      </c>
    </row>
    <row r="28" spans="1:16" s="74" customFormat="1" ht="11.25" customHeight="1" x14ac:dyDescent="0.2">
      <c r="B28" s="97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4"/>
    </row>
    <row r="29" spans="1:16" s="74" customFormat="1" ht="11.25" customHeight="1" x14ac:dyDescent="0.2">
      <c r="A29" s="74" t="s">
        <v>29</v>
      </c>
      <c r="B29" s="174" t="s">
        <v>46</v>
      </c>
      <c r="C29" s="117">
        <f>C4</f>
        <v>42956</v>
      </c>
      <c r="D29" s="117">
        <f>D4</f>
        <v>42979</v>
      </c>
      <c r="E29" s="117">
        <f>E4</f>
        <v>43013</v>
      </c>
      <c r="F29" s="117">
        <f>F4</f>
        <v>42675</v>
      </c>
      <c r="G29" s="117">
        <f>G4</f>
        <v>42705</v>
      </c>
      <c r="H29" s="117">
        <f>H24</f>
        <v>42740</v>
      </c>
      <c r="I29" s="117">
        <f>I24</f>
        <v>43101</v>
      </c>
      <c r="J29" s="117">
        <f>J4</f>
        <v>43160</v>
      </c>
      <c r="K29" s="117">
        <f>K4</f>
        <v>42826</v>
      </c>
      <c r="L29" s="117">
        <f>$L$4</f>
        <v>42492</v>
      </c>
      <c r="M29" s="117">
        <f>$M$4</f>
        <v>42537</v>
      </c>
      <c r="N29" s="117">
        <v>42186</v>
      </c>
      <c r="O29" s="184"/>
    </row>
    <row r="30" spans="1:16" s="74" customFormat="1" ht="22.5" customHeight="1" x14ac:dyDescent="0.2">
      <c r="A30" s="74" t="s">
        <v>28</v>
      </c>
      <c r="B30" s="97" t="s">
        <v>74</v>
      </c>
      <c r="C30" s="112">
        <v>47941</v>
      </c>
      <c r="D30" s="112">
        <v>48326</v>
      </c>
      <c r="E30" s="112">
        <v>49260</v>
      </c>
      <c r="F30" s="112">
        <v>50297</v>
      </c>
      <c r="G30" s="111">
        <v>51661</v>
      </c>
      <c r="H30" s="111">
        <v>52807</v>
      </c>
      <c r="I30" s="111">
        <v>54285</v>
      </c>
      <c r="J30" s="111">
        <v>56121</v>
      </c>
      <c r="K30" s="111">
        <v>45339</v>
      </c>
      <c r="L30" s="111">
        <v>46324</v>
      </c>
      <c r="M30" s="111">
        <v>46955</v>
      </c>
      <c r="N30" s="111">
        <v>47491</v>
      </c>
      <c r="O30" s="184"/>
    </row>
    <row r="31" spans="1:16" s="74" customFormat="1" ht="22.5" customHeight="1" x14ac:dyDescent="0.2">
      <c r="B31" s="97" t="s">
        <v>75</v>
      </c>
      <c r="C31" s="116">
        <f>C30-47491</f>
        <v>450</v>
      </c>
      <c r="D31" s="123">
        <f t="shared" ref="D31:N31" si="11">D30-C30</f>
        <v>385</v>
      </c>
      <c r="E31" s="123">
        <f t="shared" si="11"/>
        <v>934</v>
      </c>
      <c r="F31" s="123">
        <f t="shared" si="11"/>
        <v>1037</v>
      </c>
      <c r="G31" s="123">
        <f t="shared" si="11"/>
        <v>1364</v>
      </c>
      <c r="H31" s="123">
        <f t="shared" si="11"/>
        <v>1146</v>
      </c>
      <c r="I31" s="123">
        <f t="shared" si="11"/>
        <v>1478</v>
      </c>
      <c r="J31" s="123">
        <f t="shared" si="11"/>
        <v>1836</v>
      </c>
      <c r="K31" s="123">
        <f t="shared" si="11"/>
        <v>-10782</v>
      </c>
      <c r="L31" s="123">
        <f t="shared" si="11"/>
        <v>985</v>
      </c>
      <c r="M31" s="123">
        <f t="shared" si="11"/>
        <v>631</v>
      </c>
      <c r="N31" s="123">
        <f t="shared" si="11"/>
        <v>536</v>
      </c>
      <c r="O31" s="81">
        <f>SUM(C31:N31)</f>
        <v>0</v>
      </c>
    </row>
    <row r="32" spans="1:16" s="74" customFormat="1" ht="22.5" customHeight="1" x14ac:dyDescent="0.2">
      <c r="B32" s="97" t="s">
        <v>76</v>
      </c>
      <c r="C32" s="153">
        <f t="shared" ref="C32:N32" si="12">ROUND(C31*C$5,2)</f>
        <v>349.45</v>
      </c>
      <c r="D32" s="153">
        <f t="shared" si="12"/>
        <v>299.95999999999998</v>
      </c>
      <c r="E32" s="153">
        <f t="shared" si="12"/>
        <v>666.44</v>
      </c>
      <c r="F32" s="153">
        <f t="shared" si="12"/>
        <v>772.34</v>
      </c>
      <c r="G32" s="153">
        <f t="shared" si="12"/>
        <v>1128.95</v>
      </c>
      <c r="H32" s="153">
        <f t="shared" si="12"/>
        <v>976.6</v>
      </c>
      <c r="I32" s="153">
        <f t="shared" si="12"/>
        <v>1296.05</v>
      </c>
      <c r="J32" s="153">
        <f t="shared" si="12"/>
        <v>1673.7</v>
      </c>
      <c r="K32" s="153">
        <f t="shared" si="12"/>
        <v>-9571.31</v>
      </c>
      <c r="L32" s="153">
        <f t="shared" si="12"/>
        <v>826.77</v>
      </c>
      <c r="M32" s="153">
        <f t="shared" si="12"/>
        <v>527.23</v>
      </c>
      <c r="N32" s="153">
        <f t="shared" si="12"/>
        <v>455.81</v>
      </c>
      <c r="O32" s="184">
        <f>SUM(C32:N32)</f>
        <v>-598.00999999999885</v>
      </c>
    </row>
    <row r="33" spans="1:16" s="74" customFormat="1" ht="11.25" customHeight="1" x14ac:dyDescent="0.2">
      <c r="B33" s="97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4"/>
    </row>
    <row r="34" spans="1:16" s="55" customFormat="1" ht="22.5" customHeight="1" x14ac:dyDescent="0.2">
      <c r="A34" s="122" t="s">
        <v>79</v>
      </c>
      <c r="B34" s="67" t="s">
        <v>80</v>
      </c>
      <c r="C34" s="186"/>
      <c r="D34" s="187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9"/>
      <c r="P34" s="75"/>
    </row>
    <row r="35" spans="1:16" s="55" customFormat="1" x14ac:dyDescent="0.2">
      <c r="A35" s="74" t="s">
        <v>81</v>
      </c>
      <c r="B35" s="97"/>
      <c r="C35" s="71">
        <f t="shared" ref="C35:N35" si="13">C8+C12+C31+C16+C21+C26</f>
        <v>1989.9022222222222</v>
      </c>
      <c r="D35" s="71">
        <f t="shared" si="13"/>
        <v>2634.0977777777748</v>
      </c>
      <c r="E35" s="71">
        <f t="shared" si="13"/>
        <v>5687</v>
      </c>
      <c r="F35" s="71">
        <f t="shared" si="13"/>
        <v>6364.75</v>
      </c>
      <c r="G35" s="71">
        <f t="shared" si="13"/>
        <v>8100</v>
      </c>
      <c r="H35" s="71">
        <f t="shared" si="13"/>
        <v>12767</v>
      </c>
      <c r="I35" s="71">
        <f t="shared" si="13"/>
        <v>8211.5</v>
      </c>
      <c r="J35" s="71">
        <f t="shared" si="13"/>
        <v>6751</v>
      </c>
      <c r="K35" s="71">
        <f t="shared" si="13"/>
        <v>-62277.5</v>
      </c>
      <c r="L35" s="71">
        <f t="shared" si="13"/>
        <v>11667</v>
      </c>
      <c r="M35" s="71">
        <f t="shared" si="13"/>
        <v>5812.5</v>
      </c>
      <c r="N35" s="71">
        <f t="shared" si="13"/>
        <v>1552</v>
      </c>
      <c r="O35" s="71">
        <f>O8+O12+O16+O21+O26+O31</f>
        <v>9259.2499999999964</v>
      </c>
      <c r="P35" s="71">
        <f>SUM(C35:N35)</f>
        <v>9259.25</v>
      </c>
    </row>
    <row r="36" spans="1:16" x14ac:dyDescent="0.2">
      <c r="A36" s="74" t="s">
        <v>82</v>
      </c>
      <c r="B36" s="74"/>
      <c r="C36" s="153">
        <f t="shared" ref="C36:N36" si="14">ROUND(C17+C22+C32+C27+(C13+C9)*20/24,2)</f>
        <v>1397.48</v>
      </c>
      <c r="D36" s="153">
        <f t="shared" si="14"/>
        <v>1822.67</v>
      </c>
      <c r="E36" s="153">
        <f t="shared" si="14"/>
        <v>3665.27</v>
      </c>
      <c r="F36" s="153">
        <f t="shared" si="14"/>
        <v>4296.37</v>
      </c>
      <c r="G36" s="153">
        <f t="shared" si="14"/>
        <v>6111.7</v>
      </c>
      <c r="H36" s="153">
        <f t="shared" si="14"/>
        <v>9643.5300000000007</v>
      </c>
      <c r="I36" s="153">
        <f t="shared" si="14"/>
        <v>6602.21</v>
      </c>
      <c r="J36" s="153">
        <f t="shared" si="14"/>
        <v>5956.88</v>
      </c>
      <c r="K36" s="153">
        <f t="shared" si="14"/>
        <v>-50446.39</v>
      </c>
      <c r="L36" s="153">
        <f t="shared" si="14"/>
        <v>8568.19</v>
      </c>
      <c r="M36" s="153">
        <f t="shared" si="14"/>
        <v>4254.6499999999996</v>
      </c>
      <c r="N36" s="153">
        <f t="shared" si="14"/>
        <v>1220.17</v>
      </c>
      <c r="O36" s="153">
        <f>ROUND((20/24)*(O9+O13)+O17+O22+O27+O32,2)</f>
        <v>3092.75</v>
      </c>
      <c r="P36" s="153">
        <f>SUM(C36:N36)</f>
        <v>3092.7300000000014</v>
      </c>
    </row>
    <row r="37" spans="1:16" x14ac:dyDescent="0.2">
      <c r="A37" s="121"/>
      <c r="E37" s="71"/>
      <c r="J37" s="153"/>
    </row>
    <row r="38" spans="1:16" hidden="1" x14ac:dyDescent="0.2">
      <c r="E38" s="153" t="e">
        <f>E11+#REF!+E19+E24+E35</f>
        <v>#REF!</v>
      </c>
      <c r="F38" s="83">
        <v>5226846</v>
      </c>
      <c r="G38" s="83">
        <v>9731922</v>
      </c>
      <c r="H38" s="83">
        <v>12684409</v>
      </c>
      <c r="I38" s="83">
        <v>20538432</v>
      </c>
      <c r="J38" s="83">
        <v>27244690</v>
      </c>
      <c r="K38" s="83">
        <v>30649348</v>
      </c>
      <c r="L38" s="83">
        <v>35610076</v>
      </c>
      <c r="M38" s="83"/>
      <c r="N38" s="83"/>
    </row>
    <row r="39" spans="1:16" hidden="1" x14ac:dyDescent="0.2">
      <c r="A39" s="72"/>
      <c r="E39" s="85"/>
      <c r="F39" s="83" t="e">
        <f t="shared" ref="F39:L39" si="15">F38-E38</f>
        <v>#REF!</v>
      </c>
      <c r="G39" s="83">
        <f t="shared" si="15"/>
        <v>4505076</v>
      </c>
      <c r="H39" s="83">
        <f t="shared" si="15"/>
        <v>2952487</v>
      </c>
      <c r="I39" s="83">
        <f t="shared" si="15"/>
        <v>7854023</v>
      </c>
      <c r="J39" s="83">
        <f t="shared" si="15"/>
        <v>6706258</v>
      </c>
      <c r="K39" s="83">
        <f t="shared" si="15"/>
        <v>3404658</v>
      </c>
      <c r="L39" s="83">
        <f t="shared" si="15"/>
        <v>4960728</v>
      </c>
      <c r="M39" s="83"/>
      <c r="N39" s="83"/>
    </row>
    <row r="40" spans="1:16" hidden="1" x14ac:dyDescent="0.2">
      <c r="A40" s="72"/>
      <c r="G40" s="128" t="e">
        <f>G39/#REF!</f>
        <v>#REF!</v>
      </c>
      <c r="H40" s="128" t="e">
        <f>H39/#REF!</f>
        <v>#REF!</v>
      </c>
      <c r="I40" s="128" t="e">
        <f>I39/#REF!</f>
        <v>#REF!</v>
      </c>
      <c r="J40" s="128" t="e">
        <f>J39/#REF!</f>
        <v>#REF!</v>
      </c>
      <c r="K40" s="128" t="e">
        <f>K39/#REF!</f>
        <v>#REF!</v>
      </c>
    </row>
    <row r="41" spans="1:16" hidden="1" x14ac:dyDescent="0.2">
      <c r="A41" s="72"/>
      <c r="G41" s="128">
        <f>G39/6000</f>
        <v>750.846</v>
      </c>
      <c r="H41" s="128">
        <f>H39/6000</f>
        <v>492.08116666666666</v>
      </c>
      <c r="I41" s="128">
        <f>I39/6000</f>
        <v>1309.0038333333334</v>
      </c>
      <c r="J41" s="128">
        <f>J39/6000</f>
        <v>1117.7096666666666</v>
      </c>
      <c r="K41" s="128">
        <f>K39/6000</f>
        <v>567.44299999999998</v>
      </c>
    </row>
    <row r="42" spans="1:16" x14ac:dyDescent="0.2">
      <c r="A42" s="72" t="s">
        <v>34</v>
      </c>
      <c r="P42" s="190"/>
    </row>
    <row r="43" spans="1:16" x14ac:dyDescent="0.2">
      <c r="A43" s="72" t="s">
        <v>83</v>
      </c>
    </row>
    <row r="44" spans="1:16" x14ac:dyDescent="0.2">
      <c r="A44" s="72" t="s">
        <v>84</v>
      </c>
    </row>
    <row r="45" spans="1:16" x14ac:dyDescent="0.2">
      <c r="A45" s="72" t="s">
        <v>85</v>
      </c>
    </row>
    <row r="46" spans="1:16" x14ac:dyDescent="0.2">
      <c r="A46" s="87" t="s">
        <v>86</v>
      </c>
      <c r="B46" s="101"/>
      <c r="C46" s="102"/>
      <c r="D46" s="102"/>
      <c r="E46" s="86"/>
      <c r="F46" s="68"/>
      <c r="G46" s="68"/>
      <c r="H46" s="68"/>
      <c r="I46" s="68"/>
      <c r="J46" s="68"/>
      <c r="K46" s="68"/>
      <c r="L46" s="68"/>
      <c r="M46" s="68"/>
      <c r="N46" s="68"/>
    </row>
    <row r="47" spans="1:16" x14ac:dyDescent="0.2">
      <c r="C47" s="68"/>
      <c r="D47" s="68"/>
      <c r="E47" s="86"/>
      <c r="F47" s="68"/>
      <c r="G47" s="68"/>
      <c r="H47" s="68"/>
      <c r="I47" s="68"/>
      <c r="J47" s="68"/>
      <c r="K47" s="68"/>
      <c r="L47" s="68"/>
      <c r="M47" s="68"/>
      <c r="N47" s="68"/>
      <c r="O47" s="68"/>
    </row>
    <row r="63" spans="3:4" x14ac:dyDescent="0.2">
      <c r="C63" s="68"/>
      <c r="D63" s="68"/>
    </row>
  </sheetData>
  <pageMargins left="0" right="0" top="0.5" bottom="0.25" header="0.5" footer="0.5"/>
  <pageSetup scale="76" orientation="landscape"/>
  <headerFooter alignWithMargins="0">
    <oddFooter>&amp;C&amp;P of &amp;N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topLeftCell="A4" zoomScale="130" zoomScaleNormal="130" workbookViewId="0">
      <pane xSplit="1" topLeftCell="B1" activePane="topRight" state="frozen"/>
      <selection activeCell="A4" sqref="A4"/>
      <selection pane="topRight" activeCell="S49" sqref="S49"/>
    </sheetView>
  </sheetViews>
  <sheetFormatPr defaultColWidth="9.140625" defaultRowHeight="12.75" x14ac:dyDescent="0.2"/>
  <cols>
    <col min="1" max="1" width="20.85546875" style="74" customWidth="1"/>
    <col min="2" max="2" width="14.140625" style="74" customWidth="1"/>
    <col min="3" max="3" width="7.85546875" style="74" hidden="1" customWidth="1"/>
    <col min="4" max="4" width="10.85546875" style="74" hidden="1" customWidth="1"/>
    <col min="5" max="6" width="8.7109375" style="74" hidden="1" customWidth="1"/>
    <col min="7" max="7" width="9.42578125" style="74" hidden="1" customWidth="1"/>
    <col min="8" max="8" width="10" style="74" hidden="1" customWidth="1"/>
    <col min="9" max="9" width="9.42578125" style="74" hidden="1" customWidth="1"/>
    <col min="10" max="10" width="10.42578125" style="74" customWidth="1"/>
    <col min="11" max="11" width="11.140625" style="74" hidden="1" customWidth="1"/>
    <col min="12" max="12" width="10.42578125" style="74" hidden="1" customWidth="1"/>
    <col min="13" max="14" width="9.5703125" style="74" hidden="1" customWidth="1"/>
    <col min="15" max="15" width="12.5703125" style="128" hidden="1" customWidth="1"/>
    <col min="16" max="16" width="10.140625" style="128" hidden="1" customWidth="1"/>
    <col min="17" max="17" width="14" style="128" bestFit="1" customWidth="1"/>
    <col min="18" max="18" width="9.140625" style="128" customWidth="1"/>
    <col min="19" max="16384" width="9.140625" style="128"/>
  </cols>
  <sheetData>
    <row r="1" spans="1:23" ht="15.75" customHeight="1" x14ac:dyDescent="0.25">
      <c r="A1" s="33" t="s">
        <v>87</v>
      </c>
      <c r="N1" s="127"/>
    </row>
    <row r="2" spans="1:23" x14ac:dyDescent="0.2">
      <c r="N2" s="128"/>
    </row>
    <row r="3" spans="1:23" x14ac:dyDescent="0.2">
      <c r="A3" s="63" t="s">
        <v>88</v>
      </c>
      <c r="B3" s="63" t="s">
        <v>4</v>
      </c>
      <c r="C3" s="159">
        <f>'Utility Summary'!C3</f>
        <v>42930</v>
      </c>
      <c r="D3" s="159">
        <f>'Utility Summary'!D3</f>
        <v>42961</v>
      </c>
      <c r="E3" s="159">
        <f>'Utility Summary'!E3</f>
        <v>42992</v>
      </c>
      <c r="F3" s="159">
        <f>'Utility Summary'!F3</f>
        <v>43022</v>
      </c>
      <c r="G3" s="159">
        <f>'Utility Summary'!G3</f>
        <v>43053</v>
      </c>
      <c r="H3" s="159">
        <f>'Utility Summary'!H3</f>
        <v>43083</v>
      </c>
      <c r="I3" s="159">
        <f>'Utility Summary'!I3</f>
        <v>43114</v>
      </c>
      <c r="J3" s="159">
        <f>'Utility Summary'!J3</f>
        <v>43145</v>
      </c>
      <c r="K3" s="159">
        <f>'Utility Summary'!K3</f>
        <v>43173</v>
      </c>
      <c r="L3" s="159">
        <f>'Utility Summary'!L3</f>
        <v>43204</v>
      </c>
      <c r="M3" s="159">
        <f>'Utility Summary'!M3</f>
        <v>43234</v>
      </c>
      <c r="N3" s="159">
        <f>'Utility Summary'!N3</f>
        <v>43265</v>
      </c>
      <c r="O3" s="65" t="s">
        <v>1</v>
      </c>
      <c r="P3" s="66" t="s">
        <v>5</v>
      </c>
    </row>
    <row r="4" spans="1:23" x14ac:dyDescent="0.2">
      <c r="B4" s="140" t="s">
        <v>46</v>
      </c>
      <c r="C4" s="176">
        <v>42585</v>
      </c>
      <c r="D4" s="176">
        <f>[3]Electricity!D4</f>
        <v>42615</v>
      </c>
      <c r="E4" s="176">
        <f>[3]Electricity!E4</f>
        <v>42646</v>
      </c>
      <c r="F4" s="176">
        <v>42675</v>
      </c>
      <c r="G4" s="176">
        <f>[3]Electricity!G4</f>
        <v>42705</v>
      </c>
      <c r="H4" s="176">
        <f>[3]Electricity!H4</f>
        <v>42740</v>
      </c>
      <c r="I4" s="176">
        <f>[3]Electricity!I4</f>
        <v>42736</v>
      </c>
      <c r="J4" s="176">
        <f>[3]Electricity!J4</f>
        <v>42065</v>
      </c>
      <c r="K4" s="176">
        <f>[3]Electricity!K4</f>
        <v>42826</v>
      </c>
      <c r="L4" s="176">
        <f>[3]Electricity!L4</f>
        <v>42492</v>
      </c>
      <c r="M4" s="176">
        <f>[3]Electricity!M4</f>
        <v>42537</v>
      </c>
      <c r="N4" s="176">
        <v>42186</v>
      </c>
      <c r="P4" s="97"/>
    </row>
    <row r="5" spans="1:23" s="130" customFormat="1" ht="25.5" customHeight="1" x14ac:dyDescent="0.2">
      <c r="A5" s="49"/>
      <c r="B5" s="67" t="s">
        <v>89</v>
      </c>
      <c r="C5" s="191">
        <f>66973.17/(16089*748/1000)</f>
        <v>5.5650645490342319</v>
      </c>
      <c r="D5" s="191">
        <f>49796.32/(11950*748/1000)</f>
        <v>5.5709305707828962</v>
      </c>
      <c r="E5" s="191">
        <f>63844.07/(15335*748/1000)</f>
        <v>5.5658972780800973</v>
      </c>
      <c r="F5" s="191">
        <f>52265.57/(12545*748/1000)</f>
        <v>5.5698490780782768</v>
      </c>
      <c r="G5" s="191">
        <f>34179.87/(8187*748/1000)</f>
        <v>5.581411184681075</v>
      </c>
      <c r="H5" s="191">
        <f>27909.22/(6676*748/1000)</f>
        <v>5.5889441947049532</v>
      </c>
      <c r="I5" s="191">
        <f>17291.41/(4097*748/1000)</f>
        <v>5.6423866948425809</v>
      </c>
      <c r="J5" s="191">
        <f>39963.7/(9534*748/1000)</f>
        <v>5.6038815205697814</v>
      </c>
      <c r="K5" s="191">
        <f>26045.87/(6227*748/1000)</f>
        <v>5.5918872359373397</v>
      </c>
      <c r="L5" s="191">
        <f>27851.12/(6662*748/1000)</f>
        <v>5.5890299680364484</v>
      </c>
      <c r="M5" s="191">
        <f>48314.77/(11593*748/1000)</f>
        <v>5.5716327527537128</v>
      </c>
      <c r="N5" s="191">
        <f>32275.02/(7728*748/1000)</f>
        <v>5.5833879994685622</v>
      </c>
      <c r="O5" s="129"/>
      <c r="P5" s="67"/>
    </row>
    <row r="7" spans="1:23" x14ac:dyDescent="0.2">
      <c r="A7" s="74" t="s">
        <v>90</v>
      </c>
      <c r="B7" s="140" t="s">
        <v>91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50"/>
    </row>
    <row r="8" spans="1:23" x14ac:dyDescent="0.2">
      <c r="A8" s="74" t="s">
        <v>92</v>
      </c>
      <c r="B8" s="74" t="s">
        <v>93</v>
      </c>
      <c r="C8" s="50">
        <v>19280.48</v>
      </c>
      <c r="D8" s="50">
        <f>(198929+52250.93)/2</f>
        <v>125589.965</v>
      </c>
      <c r="E8" s="50">
        <v>128818.7</v>
      </c>
      <c r="F8" s="50">
        <v>136251.66</v>
      </c>
      <c r="G8" s="50">
        <v>120022.04</v>
      </c>
      <c r="H8" s="50">
        <v>80941.699999999953</v>
      </c>
      <c r="I8" s="50">
        <v>68325.419999999925</v>
      </c>
      <c r="J8" s="50">
        <v>125145.21000000009</v>
      </c>
      <c r="K8" s="50">
        <v>125658.63000000011</v>
      </c>
      <c r="L8" s="50">
        <v>124188.03</v>
      </c>
      <c r="M8" s="50">
        <v>65550.209999999497</v>
      </c>
      <c r="N8" s="50">
        <v>16820.020000000019</v>
      </c>
      <c r="O8" s="50">
        <f>SUM(C8:N8)</f>
        <v>1136592.0649999997</v>
      </c>
      <c r="U8" s="130"/>
      <c r="V8" s="130"/>
      <c r="W8" s="130"/>
    </row>
    <row r="9" spans="1:23" x14ac:dyDescent="0.2">
      <c r="B9" s="74" t="s">
        <v>50</v>
      </c>
      <c r="C9" s="153">
        <f t="shared" ref="C9:N9" si="0">ROUND(C$5*C8/1000,2)</f>
        <v>107.3</v>
      </c>
      <c r="D9" s="153">
        <f t="shared" si="0"/>
        <v>699.65</v>
      </c>
      <c r="E9" s="153">
        <f t="shared" si="0"/>
        <v>716.99</v>
      </c>
      <c r="F9" s="153">
        <f t="shared" si="0"/>
        <v>758.9</v>
      </c>
      <c r="G9" s="153">
        <f t="shared" si="0"/>
        <v>669.89</v>
      </c>
      <c r="H9" s="153">
        <f t="shared" si="0"/>
        <v>452.38</v>
      </c>
      <c r="I9" s="153">
        <f t="shared" si="0"/>
        <v>385.52</v>
      </c>
      <c r="J9" s="153">
        <f t="shared" si="0"/>
        <v>701.3</v>
      </c>
      <c r="K9" s="153">
        <f t="shared" si="0"/>
        <v>702.67</v>
      </c>
      <c r="L9" s="153">
        <f t="shared" si="0"/>
        <v>694.09</v>
      </c>
      <c r="M9" s="153">
        <f t="shared" si="0"/>
        <v>365.22</v>
      </c>
      <c r="N9" s="153">
        <f t="shared" si="0"/>
        <v>93.91</v>
      </c>
      <c r="O9" s="153">
        <f>SUM(C9:N9)</f>
        <v>6347.8200000000006</v>
      </c>
    </row>
    <row r="11" spans="1:23" x14ac:dyDescent="0.2">
      <c r="A11" s="140" t="s">
        <v>12</v>
      </c>
      <c r="B11" s="140" t="s">
        <v>91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U11" s="130"/>
      <c r="V11" s="130"/>
      <c r="W11" s="130"/>
    </row>
    <row r="12" spans="1:23" x14ac:dyDescent="0.2">
      <c r="B12" s="74" t="s">
        <v>93</v>
      </c>
      <c r="C12" s="50">
        <v>748.27</v>
      </c>
      <c r="D12" s="50">
        <v>24565.24</v>
      </c>
      <c r="E12" s="50">
        <v>45217.599999999999</v>
      </c>
      <c r="F12" s="50">
        <v>47405.999999999884</v>
      </c>
      <c r="G12" s="50">
        <v>40684.599999999977</v>
      </c>
      <c r="H12" s="50">
        <v>21687.70000000019</v>
      </c>
      <c r="I12" s="50">
        <v>21606.39999999967</v>
      </c>
      <c r="J12" s="50">
        <v>49200.700000000194</v>
      </c>
      <c r="K12" s="50">
        <v>44917.26</v>
      </c>
      <c r="L12" s="50">
        <v>53668.12</v>
      </c>
      <c r="M12" s="50">
        <v>22984.85999999999</v>
      </c>
      <c r="N12" s="50">
        <v>447.04000000003703</v>
      </c>
      <c r="O12" s="50">
        <f>SUM(C12:N12)</f>
        <v>373133.78999999992</v>
      </c>
    </row>
    <row r="13" spans="1:23" x14ac:dyDescent="0.2">
      <c r="B13" s="74" t="s">
        <v>50</v>
      </c>
      <c r="C13" s="153">
        <f t="shared" ref="C13:N13" si="1">ROUND(C$5*C12/1000,2)</f>
        <v>4.16</v>
      </c>
      <c r="D13" s="153">
        <f t="shared" si="1"/>
        <v>136.85</v>
      </c>
      <c r="E13" s="153">
        <f t="shared" si="1"/>
        <v>251.68</v>
      </c>
      <c r="F13" s="153">
        <f t="shared" si="1"/>
        <v>264.04000000000002</v>
      </c>
      <c r="G13" s="153">
        <f t="shared" si="1"/>
        <v>227.08</v>
      </c>
      <c r="H13" s="153">
        <f t="shared" si="1"/>
        <v>121.21</v>
      </c>
      <c r="I13" s="153">
        <f t="shared" si="1"/>
        <v>121.91</v>
      </c>
      <c r="J13" s="153">
        <f t="shared" si="1"/>
        <v>275.70999999999998</v>
      </c>
      <c r="K13" s="153">
        <f t="shared" si="1"/>
        <v>251.17</v>
      </c>
      <c r="L13" s="153">
        <f t="shared" si="1"/>
        <v>299.95</v>
      </c>
      <c r="M13" s="153">
        <f t="shared" si="1"/>
        <v>128.06</v>
      </c>
      <c r="N13" s="153">
        <f t="shared" si="1"/>
        <v>2.5</v>
      </c>
      <c r="O13" s="153">
        <f>SUM(C13:N13)</f>
        <v>2084.3200000000002</v>
      </c>
    </row>
    <row r="14" spans="1:23" x14ac:dyDescent="0.2">
      <c r="U14" s="130"/>
      <c r="V14" s="130"/>
      <c r="W14" s="130"/>
    </row>
    <row r="15" spans="1:23" x14ac:dyDescent="0.2">
      <c r="A15" s="140" t="s">
        <v>13</v>
      </c>
      <c r="B15" s="140" t="s">
        <v>91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</row>
    <row r="16" spans="1:23" x14ac:dyDescent="0.2">
      <c r="B16" s="74" t="s">
        <v>93</v>
      </c>
      <c r="C16" s="50">
        <v>2787.89</v>
      </c>
      <c r="D16" s="50">
        <v>41491.35</v>
      </c>
      <c r="E16" s="50">
        <v>97868.08</v>
      </c>
      <c r="F16" s="50">
        <v>132806.20000000019</v>
      </c>
      <c r="G16" s="50">
        <v>56981.799999999806</v>
      </c>
      <c r="H16" s="50">
        <v>25891.69999999995</v>
      </c>
      <c r="I16" s="50">
        <v>38590.300000000279</v>
      </c>
      <c r="J16" s="50">
        <v>69161.09999999986</v>
      </c>
      <c r="K16" s="50">
        <v>40713.660000000003</v>
      </c>
      <c r="L16" s="50">
        <v>58450.19</v>
      </c>
      <c r="M16" s="50">
        <v>21447.680000000051</v>
      </c>
      <c r="N16" s="50">
        <v>4301.7399999999907</v>
      </c>
      <c r="O16" s="50">
        <f>SUM(C16:N16)</f>
        <v>590491.69000000006</v>
      </c>
    </row>
    <row r="17" spans="1:23" x14ac:dyDescent="0.2">
      <c r="B17" s="74" t="s">
        <v>50</v>
      </c>
      <c r="C17" s="153">
        <f t="shared" ref="C17:N17" si="2">ROUND(C$5*C16/1000,2)</f>
        <v>15.51</v>
      </c>
      <c r="D17" s="153">
        <f t="shared" si="2"/>
        <v>231.15</v>
      </c>
      <c r="E17" s="153">
        <f t="shared" si="2"/>
        <v>544.72</v>
      </c>
      <c r="F17" s="153">
        <f t="shared" si="2"/>
        <v>739.71</v>
      </c>
      <c r="G17" s="153">
        <f t="shared" si="2"/>
        <v>318.04000000000002</v>
      </c>
      <c r="H17" s="153">
        <f t="shared" si="2"/>
        <v>144.71</v>
      </c>
      <c r="I17" s="153">
        <f t="shared" si="2"/>
        <v>217.74</v>
      </c>
      <c r="J17" s="153">
        <f t="shared" si="2"/>
        <v>387.57</v>
      </c>
      <c r="K17" s="153">
        <f t="shared" si="2"/>
        <v>227.67</v>
      </c>
      <c r="L17" s="153">
        <f t="shared" si="2"/>
        <v>326.68</v>
      </c>
      <c r="M17" s="153">
        <f t="shared" si="2"/>
        <v>119.5</v>
      </c>
      <c r="N17" s="153">
        <f t="shared" si="2"/>
        <v>24.02</v>
      </c>
      <c r="O17" s="153">
        <f>SUM(C17:N17)</f>
        <v>3297.02</v>
      </c>
      <c r="U17" s="130"/>
      <c r="V17" s="130"/>
      <c r="W17" s="130"/>
    </row>
    <row r="19" spans="1:23" x14ac:dyDescent="0.2">
      <c r="A19" s="74" t="s">
        <v>14</v>
      </c>
      <c r="B19" s="74" t="s">
        <v>93</v>
      </c>
      <c r="C19" s="50">
        <f>141724.42/4</f>
        <v>35431.105000000003</v>
      </c>
      <c r="D19" s="50">
        <f>92688.2499999998/4</f>
        <v>23172.062499999949</v>
      </c>
      <c r="E19" s="50">
        <f>225547.59/4</f>
        <v>56386.897499999999</v>
      </c>
      <c r="F19" s="50">
        <f>244613.599999999/4</f>
        <v>61153.399999999747</v>
      </c>
      <c r="G19" s="50">
        <f>217445.500000001/4</f>
        <v>54361.375000000247</v>
      </c>
      <c r="H19" s="50">
        <f>128436/4</f>
        <v>32109</v>
      </c>
      <c r="I19" s="50">
        <f>129468.7/4</f>
        <v>32367.174999999999</v>
      </c>
      <c r="J19" s="50">
        <f>234635.899999999/4</f>
        <v>58658.974999999751</v>
      </c>
      <c r="K19" s="50">
        <f>188612.11/4</f>
        <v>47153.027499999997</v>
      </c>
      <c r="L19" s="50">
        <f>196483.94/4</f>
        <v>49120.985000000001</v>
      </c>
      <c r="M19" s="50">
        <f>112261.89/4</f>
        <v>28065.4725</v>
      </c>
      <c r="N19" s="50">
        <f>34083.56/4</f>
        <v>8520.89</v>
      </c>
      <c r="O19" s="50">
        <f>SUM(C19:N19)</f>
        <v>486500.36499999958</v>
      </c>
    </row>
    <row r="20" spans="1:23" x14ac:dyDescent="0.2">
      <c r="B20" s="74" t="s">
        <v>50</v>
      </c>
      <c r="C20" s="153">
        <f t="shared" ref="C20:N20" si="3">ROUND(C$5*C19/1000,2)</f>
        <v>197.18</v>
      </c>
      <c r="D20" s="153">
        <f t="shared" si="3"/>
        <v>129.09</v>
      </c>
      <c r="E20" s="153">
        <f t="shared" si="3"/>
        <v>313.83999999999997</v>
      </c>
      <c r="F20" s="153">
        <f t="shared" si="3"/>
        <v>340.62</v>
      </c>
      <c r="G20" s="153">
        <f t="shared" si="3"/>
        <v>303.41000000000003</v>
      </c>
      <c r="H20" s="153">
        <f t="shared" si="3"/>
        <v>179.46</v>
      </c>
      <c r="I20" s="153">
        <f t="shared" si="3"/>
        <v>182.63</v>
      </c>
      <c r="J20" s="153">
        <f t="shared" si="3"/>
        <v>328.72</v>
      </c>
      <c r="K20" s="153">
        <f t="shared" si="3"/>
        <v>263.67</v>
      </c>
      <c r="L20" s="153">
        <f t="shared" si="3"/>
        <v>274.54000000000002</v>
      </c>
      <c r="M20" s="153">
        <f t="shared" si="3"/>
        <v>156.37</v>
      </c>
      <c r="N20" s="153">
        <f t="shared" si="3"/>
        <v>47.58</v>
      </c>
      <c r="O20" s="153">
        <f>SUM(C20:N20)</f>
        <v>2717.1099999999997</v>
      </c>
      <c r="U20" s="130"/>
      <c r="V20" s="130"/>
      <c r="W20" s="130"/>
    </row>
    <row r="21" spans="1:23" x14ac:dyDescent="0.2"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</row>
    <row r="23" spans="1:23" x14ac:dyDescent="0.2">
      <c r="A23" s="74" t="s">
        <v>15</v>
      </c>
      <c r="B23" s="74" t="s">
        <v>93</v>
      </c>
      <c r="C23" s="50">
        <f>141724.42/4</f>
        <v>35431.105000000003</v>
      </c>
      <c r="D23" s="50">
        <f>92688.2499999998/4</f>
        <v>23172.062499999949</v>
      </c>
      <c r="E23" s="50">
        <f>225547.59/4</f>
        <v>56386.897499999999</v>
      </c>
      <c r="F23" s="50">
        <f>244613.599999999/4</f>
        <v>61153.399999999747</v>
      </c>
      <c r="G23" s="50">
        <f>217445.500000001/4</f>
        <v>54361.375000000247</v>
      </c>
      <c r="H23" s="50">
        <f>128436/4</f>
        <v>32109</v>
      </c>
      <c r="I23" s="50">
        <f>129468.7/4</f>
        <v>32367.174999999999</v>
      </c>
      <c r="J23" s="50">
        <f>234635.899999999/4</f>
        <v>58658.974999999751</v>
      </c>
      <c r="K23" s="50">
        <f>188612.11/4</f>
        <v>47153.027499999997</v>
      </c>
      <c r="L23" s="50">
        <f>196483.94/4</f>
        <v>49120.985000000001</v>
      </c>
      <c r="M23" s="50">
        <f>M19</f>
        <v>28065.4725</v>
      </c>
      <c r="N23" s="50">
        <f>34083.56/4</f>
        <v>8520.89</v>
      </c>
      <c r="O23" s="50">
        <f>SUM(C23:N23)</f>
        <v>486500.36499999958</v>
      </c>
      <c r="U23" s="130"/>
      <c r="V23" s="130"/>
      <c r="W23" s="130"/>
    </row>
    <row r="24" spans="1:23" x14ac:dyDescent="0.2">
      <c r="B24" s="74" t="s">
        <v>50</v>
      </c>
      <c r="C24" s="153">
        <f t="shared" ref="C24:N24" si="4">ROUND(C$5*C23/1000,2)</f>
        <v>197.18</v>
      </c>
      <c r="D24" s="153">
        <f t="shared" si="4"/>
        <v>129.09</v>
      </c>
      <c r="E24" s="153">
        <f t="shared" si="4"/>
        <v>313.83999999999997</v>
      </c>
      <c r="F24" s="153">
        <f t="shared" si="4"/>
        <v>340.62</v>
      </c>
      <c r="G24" s="153">
        <f t="shared" si="4"/>
        <v>303.41000000000003</v>
      </c>
      <c r="H24" s="153">
        <f t="shared" si="4"/>
        <v>179.46</v>
      </c>
      <c r="I24" s="153">
        <f t="shared" si="4"/>
        <v>182.63</v>
      </c>
      <c r="J24" s="153">
        <f t="shared" si="4"/>
        <v>328.72</v>
      </c>
      <c r="K24" s="153">
        <f t="shared" si="4"/>
        <v>263.67</v>
      </c>
      <c r="L24" s="153">
        <f t="shared" si="4"/>
        <v>274.54000000000002</v>
      </c>
      <c r="M24" s="153">
        <f t="shared" si="4"/>
        <v>156.37</v>
      </c>
      <c r="N24" s="153">
        <f t="shared" si="4"/>
        <v>47.58</v>
      </c>
      <c r="O24" s="153">
        <f>SUM(C24:N24)</f>
        <v>2717.1099999999997</v>
      </c>
    </row>
    <row r="25" spans="1:23" x14ac:dyDescent="0.2"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</row>
    <row r="26" spans="1:23" x14ac:dyDescent="0.2">
      <c r="U26" s="130"/>
      <c r="V26" s="130"/>
      <c r="W26" s="130"/>
    </row>
    <row r="27" spans="1:23" x14ac:dyDescent="0.2">
      <c r="A27" s="74" t="s">
        <v>17</v>
      </c>
      <c r="B27" s="74" t="s">
        <v>93</v>
      </c>
      <c r="C27" s="50">
        <f>141724.42/4</f>
        <v>35431.105000000003</v>
      </c>
      <c r="D27" s="50">
        <f>92688.2499999998/4</f>
        <v>23172.062499999949</v>
      </c>
      <c r="E27" s="50">
        <f>225547.59/4</f>
        <v>56386.897499999999</v>
      </c>
      <c r="F27" s="50">
        <f>244613.599999999/4</f>
        <v>61153.399999999747</v>
      </c>
      <c r="G27" s="50">
        <f>217445.500000001/4</f>
        <v>54361.375000000247</v>
      </c>
      <c r="H27" s="50">
        <f>128436/4</f>
        <v>32109</v>
      </c>
      <c r="I27" s="50">
        <f>129468.7/4</f>
        <v>32367.174999999999</v>
      </c>
      <c r="J27" s="50">
        <f>234635.899999999/4</f>
        <v>58658.974999999751</v>
      </c>
      <c r="K27" s="50">
        <f>188612.11/4</f>
        <v>47153.027499999997</v>
      </c>
      <c r="L27" s="50">
        <f>196483.94/4</f>
        <v>49120.985000000001</v>
      </c>
      <c r="M27" s="50">
        <f>M19</f>
        <v>28065.4725</v>
      </c>
      <c r="N27" s="50">
        <f>34083.56/4</f>
        <v>8520.89</v>
      </c>
      <c r="O27" s="50">
        <f>SUM(C27:N27)</f>
        <v>486500.36499999958</v>
      </c>
      <c r="P27" s="50"/>
      <c r="Q27" s="50"/>
    </row>
    <row r="28" spans="1:23" x14ac:dyDescent="0.2">
      <c r="B28" s="74" t="s">
        <v>50</v>
      </c>
      <c r="C28" s="153">
        <f t="shared" ref="C28:N28" si="5">ROUND(C$5*C27/1000,2)</f>
        <v>197.18</v>
      </c>
      <c r="D28" s="153">
        <f t="shared" si="5"/>
        <v>129.09</v>
      </c>
      <c r="E28" s="153">
        <f t="shared" si="5"/>
        <v>313.83999999999997</v>
      </c>
      <c r="F28" s="153">
        <f t="shared" si="5"/>
        <v>340.62</v>
      </c>
      <c r="G28" s="153">
        <f t="shared" si="5"/>
        <v>303.41000000000003</v>
      </c>
      <c r="H28" s="153">
        <f t="shared" si="5"/>
        <v>179.46</v>
      </c>
      <c r="I28" s="153">
        <f t="shared" si="5"/>
        <v>182.63</v>
      </c>
      <c r="J28" s="153">
        <f t="shared" si="5"/>
        <v>328.72</v>
      </c>
      <c r="K28" s="153">
        <f t="shared" si="5"/>
        <v>263.67</v>
      </c>
      <c r="L28" s="153">
        <f t="shared" si="5"/>
        <v>274.54000000000002</v>
      </c>
      <c r="M28" s="153">
        <f t="shared" si="5"/>
        <v>156.37</v>
      </c>
      <c r="N28" s="153">
        <f t="shared" si="5"/>
        <v>47.58</v>
      </c>
      <c r="O28" s="153">
        <f>SUM(C28:N28)</f>
        <v>2717.1099999999997</v>
      </c>
    </row>
    <row r="29" spans="1:23" x14ac:dyDescent="0.2"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U29" s="130"/>
      <c r="V29" s="130"/>
      <c r="W29" s="130"/>
    </row>
    <row r="31" spans="1:23" x14ac:dyDescent="0.2">
      <c r="A31" s="74" t="s">
        <v>94</v>
      </c>
      <c r="B31" s="74" t="s">
        <v>93</v>
      </c>
      <c r="C31" s="50">
        <f>141724.42/4</f>
        <v>35431.105000000003</v>
      </c>
      <c r="D31" s="50">
        <f>92688.2499999998/4</f>
        <v>23172.062499999949</v>
      </c>
      <c r="E31" s="50">
        <f>225547.59/4</f>
        <v>56386.897499999999</v>
      </c>
      <c r="F31" s="50">
        <f>244613.599999999/4</f>
        <v>61153.399999999747</v>
      </c>
      <c r="G31" s="50">
        <f>217445.500000001/4</f>
        <v>54361.375000000247</v>
      </c>
      <c r="H31" s="50">
        <f>128436/4</f>
        <v>32109</v>
      </c>
      <c r="I31" s="50">
        <f>129468.7/4</f>
        <v>32367.174999999999</v>
      </c>
      <c r="J31" s="50">
        <f>234635.899999999/4</f>
        <v>58658.974999999751</v>
      </c>
      <c r="K31" s="50">
        <f>188612.11/4</f>
        <v>47153.027499999997</v>
      </c>
      <c r="L31" s="50">
        <f>196483.94/4</f>
        <v>49120.985000000001</v>
      </c>
      <c r="M31" s="50">
        <f>M19</f>
        <v>28065.4725</v>
      </c>
      <c r="N31" s="50">
        <f>34083.56/4</f>
        <v>8520.89</v>
      </c>
      <c r="O31" s="50">
        <f>SUM(C31:N31)</f>
        <v>486500.36499999958</v>
      </c>
    </row>
    <row r="32" spans="1:23" x14ac:dyDescent="0.2">
      <c r="B32" s="74" t="s">
        <v>50</v>
      </c>
      <c r="C32" s="153">
        <f t="shared" ref="C32:N32" si="6">ROUND(C$5*C31/1000,2)</f>
        <v>197.18</v>
      </c>
      <c r="D32" s="153">
        <f t="shared" si="6"/>
        <v>129.09</v>
      </c>
      <c r="E32" s="153">
        <f t="shared" si="6"/>
        <v>313.83999999999997</v>
      </c>
      <c r="F32" s="153">
        <f t="shared" si="6"/>
        <v>340.62</v>
      </c>
      <c r="G32" s="153">
        <f t="shared" si="6"/>
        <v>303.41000000000003</v>
      </c>
      <c r="H32" s="153">
        <f t="shared" si="6"/>
        <v>179.46</v>
      </c>
      <c r="I32" s="153">
        <f t="shared" si="6"/>
        <v>182.63</v>
      </c>
      <c r="J32" s="153">
        <f t="shared" si="6"/>
        <v>328.72</v>
      </c>
      <c r="K32" s="153">
        <f t="shared" si="6"/>
        <v>263.67</v>
      </c>
      <c r="L32" s="153">
        <f t="shared" si="6"/>
        <v>274.54000000000002</v>
      </c>
      <c r="M32" s="153">
        <f t="shared" si="6"/>
        <v>156.37</v>
      </c>
      <c r="N32" s="153">
        <f t="shared" si="6"/>
        <v>47.58</v>
      </c>
      <c r="O32" s="153">
        <f>SUM(C32:N32)</f>
        <v>2717.1099999999997</v>
      </c>
      <c r="U32" s="130"/>
      <c r="V32" s="130"/>
      <c r="W32" s="130"/>
    </row>
    <row r="33" spans="1:23" x14ac:dyDescent="0.2"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</row>
    <row r="35" spans="1:23" x14ac:dyDescent="0.2">
      <c r="A35" s="74" t="s">
        <v>95</v>
      </c>
      <c r="B35" s="74" t="s">
        <v>93</v>
      </c>
      <c r="C35" s="50">
        <v>10479.84</v>
      </c>
      <c r="D35" s="50">
        <v>20355.790000000041</v>
      </c>
      <c r="E35" s="50">
        <v>34340.210000000079</v>
      </c>
      <c r="F35" s="50">
        <v>34156.699999999837</v>
      </c>
      <c r="G35" s="50">
        <v>30309.100000000089</v>
      </c>
      <c r="H35" s="50">
        <v>16114.59999999998</v>
      </c>
      <c r="I35" s="50">
        <v>15897.29999999993</v>
      </c>
      <c r="J35" s="50">
        <v>32293.300000000159</v>
      </c>
      <c r="K35" s="50">
        <v>27989.89</v>
      </c>
      <c r="L35" s="50">
        <v>29975.680000000051</v>
      </c>
      <c r="M35" s="50">
        <v>13866.399999999971</v>
      </c>
      <c r="N35" s="50">
        <v>1440.6600000000331</v>
      </c>
      <c r="O35" s="50">
        <f>SUM(C35:N35)</f>
        <v>267219.47000000015</v>
      </c>
    </row>
    <row r="36" spans="1:23" x14ac:dyDescent="0.2">
      <c r="B36" s="74" t="s">
        <v>50</v>
      </c>
      <c r="C36" s="153">
        <f t="shared" ref="C36:N36" si="7">ROUND(C$5*C35/1000,2)</f>
        <v>58.32</v>
      </c>
      <c r="D36" s="153">
        <f t="shared" si="7"/>
        <v>113.4</v>
      </c>
      <c r="E36" s="153">
        <f t="shared" si="7"/>
        <v>191.13</v>
      </c>
      <c r="F36" s="153">
        <f t="shared" si="7"/>
        <v>190.25</v>
      </c>
      <c r="G36" s="153">
        <f t="shared" si="7"/>
        <v>169.17</v>
      </c>
      <c r="H36" s="153">
        <f t="shared" si="7"/>
        <v>90.06</v>
      </c>
      <c r="I36" s="153">
        <f t="shared" si="7"/>
        <v>89.7</v>
      </c>
      <c r="J36" s="153">
        <f t="shared" si="7"/>
        <v>180.97</v>
      </c>
      <c r="K36" s="153">
        <f t="shared" si="7"/>
        <v>156.52000000000001</v>
      </c>
      <c r="L36" s="153">
        <f t="shared" si="7"/>
        <v>167.53</v>
      </c>
      <c r="M36" s="153">
        <f t="shared" si="7"/>
        <v>77.260000000000005</v>
      </c>
      <c r="N36" s="153">
        <f t="shared" si="7"/>
        <v>8.0399999999999991</v>
      </c>
      <c r="O36" s="153">
        <f>SUM(C36:N36)</f>
        <v>1492.35</v>
      </c>
    </row>
    <row r="37" spans="1:23" x14ac:dyDescent="0.2">
      <c r="U37" s="130"/>
      <c r="V37" s="130"/>
      <c r="W37" s="130"/>
    </row>
    <row r="38" spans="1:23" ht="15" customHeight="1" x14ac:dyDescent="0.25">
      <c r="A38" s="74" t="s">
        <v>21</v>
      </c>
      <c r="B38" s="74" t="s">
        <v>93</v>
      </c>
      <c r="C38" s="50">
        <f>7114.4/2</f>
        <v>3557.2</v>
      </c>
      <c r="D38" s="50">
        <f>56409.77/2</f>
        <v>28204.884999999998</v>
      </c>
      <c r="E38" s="50">
        <f>134734.23/2</f>
        <v>67367.115000000005</v>
      </c>
      <c r="F38" s="50">
        <f>108395.2/2</f>
        <v>54197.599999999999</v>
      </c>
      <c r="G38" s="50">
        <f>92502.9/2</f>
        <v>46251.45</v>
      </c>
      <c r="H38" s="50">
        <f>50779.1/2</f>
        <v>25389.55</v>
      </c>
      <c r="I38" s="50">
        <f>50948.8999999999/2</f>
        <v>25474.44999999995</v>
      </c>
      <c r="J38" s="50">
        <f>102823.2/2</f>
        <v>51411.6</v>
      </c>
      <c r="K38" s="50">
        <f>126992.61/2</f>
        <v>63496.305</v>
      </c>
      <c r="L38" s="50">
        <f>128950.36/2</f>
        <v>64475.18</v>
      </c>
      <c r="M38" s="50">
        <f>74071.7999999998/2</f>
        <v>37035.8999999999</v>
      </c>
      <c r="N38" s="50">
        <f>46525.4800000004/2</f>
        <v>23262.740000000202</v>
      </c>
      <c r="O38" s="50">
        <f>SUM(C38:N38)</f>
        <v>490123.97500000003</v>
      </c>
      <c r="Q38" s="138"/>
    </row>
    <row r="39" spans="1:23" x14ac:dyDescent="0.2">
      <c r="B39" s="74" t="s">
        <v>50</v>
      </c>
      <c r="C39" s="153">
        <f t="shared" ref="C39:N39" si="8">ROUND(C$5*C38/1000,2)</f>
        <v>19.8</v>
      </c>
      <c r="D39" s="153">
        <f t="shared" si="8"/>
        <v>157.13</v>
      </c>
      <c r="E39" s="153">
        <f t="shared" si="8"/>
        <v>374.96</v>
      </c>
      <c r="F39" s="153">
        <f t="shared" si="8"/>
        <v>301.87</v>
      </c>
      <c r="G39" s="153">
        <f t="shared" si="8"/>
        <v>258.14999999999998</v>
      </c>
      <c r="H39" s="153">
        <f t="shared" si="8"/>
        <v>141.9</v>
      </c>
      <c r="I39" s="153">
        <f t="shared" si="8"/>
        <v>143.74</v>
      </c>
      <c r="J39" s="153">
        <f t="shared" si="8"/>
        <v>288.10000000000002</v>
      </c>
      <c r="K39" s="153">
        <f t="shared" si="8"/>
        <v>355.06</v>
      </c>
      <c r="L39" s="153">
        <f t="shared" si="8"/>
        <v>360.35</v>
      </c>
      <c r="M39" s="153">
        <f t="shared" si="8"/>
        <v>206.35</v>
      </c>
      <c r="N39" s="153">
        <f t="shared" si="8"/>
        <v>129.88</v>
      </c>
      <c r="O39" s="153">
        <f>SUM(C39:N39)</f>
        <v>2737.29</v>
      </c>
    </row>
    <row r="40" spans="1:23" x14ac:dyDescent="0.2"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</row>
    <row r="41" spans="1:23" x14ac:dyDescent="0.2">
      <c r="A41" s="74" t="s">
        <v>96</v>
      </c>
      <c r="B41" s="74" t="s">
        <v>93</v>
      </c>
      <c r="C41" s="50">
        <f>7114.4/2</f>
        <v>3557.2</v>
      </c>
      <c r="D41" s="50">
        <f>56409.77/2</f>
        <v>28204.884999999998</v>
      </c>
      <c r="E41" s="50">
        <f>134734.23/2</f>
        <v>67367.115000000005</v>
      </c>
      <c r="F41" s="50">
        <f>108395.2/2</f>
        <v>54197.599999999999</v>
      </c>
      <c r="G41" s="50">
        <f>92502.9/2</f>
        <v>46251.45</v>
      </c>
      <c r="H41" s="50">
        <f>50779.1/2</f>
        <v>25389.55</v>
      </c>
      <c r="I41" s="50">
        <f>50948.8999999999/2</f>
        <v>25474.44999999995</v>
      </c>
      <c r="J41" s="50">
        <f>102823.2/2</f>
        <v>51411.6</v>
      </c>
      <c r="K41" s="50">
        <f>126992.61/2</f>
        <v>63496.305</v>
      </c>
      <c r="L41" s="50">
        <f>128950.36/2</f>
        <v>64475.18</v>
      </c>
      <c r="M41" s="50">
        <f>M38</f>
        <v>37035.8999999999</v>
      </c>
      <c r="N41" s="50">
        <f>46525.4800000004/2</f>
        <v>23262.740000000202</v>
      </c>
      <c r="O41" s="50">
        <f>SUM(C41:N41)</f>
        <v>490123.97500000003</v>
      </c>
    </row>
    <row r="42" spans="1:23" x14ac:dyDescent="0.2">
      <c r="B42" s="74" t="s">
        <v>50</v>
      </c>
      <c r="C42" s="153">
        <f t="shared" ref="C42:N42" si="9">ROUND(C$5*C41/1000,2)</f>
        <v>19.8</v>
      </c>
      <c r="D42" s="153">
        <f t="shared" si="9"/>
        <v>157.13</v>
      </c>
      <c r="E42" s="153">
        <f t="shared" si="9"/>
        <v>374.96</v>
      </c>
      <c r="F42" s="153">
        <f t="shared" si="9"/>
        <v>301.87</v>
      </c>
      <c r="G42" s="153">
        <f t="shared" si="9"/>
        <v>258.14999999999998</v>
      </c>
      <c r="H42" s="153">
        <f t="shared" si="9"/>
        <v>141.9</v>
      </c>
      <c r="I42" s="153">
        <f t="shared" si="9"/>
        <v>143.74</v>
      </c>
      <c r="J42" s="153">
        <f t="shared" si="9"/>
        <v>288.10000000000002</v>
      </c>
      <c r="K42" s="153">
        <f t="shared" si="9"/>
        <v>355.06</v>
      </c>
      <c r="L42" s="153">
        <f t="shared" si="9"/>
        <v>360.35</v>
      </c>
      <c r="M42" s="153">
        <f t="shared" si="9"/>
        <v>206.35</v>
      </c>
      <c r="N42" s="153">
        <f t="shared" si="9"/>
        <v>129.88</v>
      </c>
      <c r="O42" s="153">
        <f>SUM(C42:N42)</f>
        <v>2737.29</v>
      </c>
    </row>
    <row r="43" spans="1:23" x14ac:dyDescent="0.2"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</row>
    <row r="44" spans="1:23" x14ac:dyDescent="0.2">
      <c r="A44" s="74" t="s">
        <v>53</v>
      </c>
      <c r="B44" s="74" t="s">
        <v>93</v>
      </c>
      <c r="C44" s="50">
        <v>205546.45</v>
      </c>
      <c r="D44" s="50">
        <v>217952.97</v>
      </c>
      <c r="E44" s="50">
        <v>607532.47000000009</v>
      </c>
      <c r="F44" s="50">
        <v>690386.64999999991</v>
      </c>
      <c r="G44" s="50">
        <v>647118.39999999991</v>
      </c>
      <c r="H44" s="50">
        <v>574393.25</v>
      </c>
      <c r="I44" s="50">
        <v>547749.16999999993</v>
      </c>
      <c r="J44" s="50">
        <v>949181.08000000007</v>
      </c>
      <c r="K44" s="50">
        <v>658290.30000000005</v>
      </c>
      <c r="L44" s="50">
        <v>653133.54999999888</v>
      </c>
      <c r="M44" s="50">
        <v>415842.86000000132</v>
      </c>
      <c r="N44" s="50">
        <v>142726.15999999829</v>
      </c>
      <c r="O44" s="50">
        <f>SUM(C44:N44)</f>
        <v>6309853.3099999977</v>
      </c>
      <c r="U44" s="192"/>
    </row>
    <row r="45" spans="1:23" x14ac:dyDescent="0.2">
      <c r="A45" s="74" t="s">
        <v>97</v>
      </c>
      <c r="B45" s="74" t="s">
        <v>50</v>
      </c>
      <c r="C45" s="153">
        <f t="shared" ref="C45:N45" si="10">ROUND(C$5*C44/1000,2)</f>
        <v>1143.8800000000001</v>
      </c>
      <c r="D45" s="153">
        <f t="shared" si="10"/>
        <v>1214.2</v>
      </c>
      <c r="E45" s="153">
        <f t="shared" si="10"/>
        <v>3381.46</v>
      </c>
      <c r="F45" s="153">
        <f t="shared" si="10"/>
        <v>3845.35</v>
      </c>
      <c r="G45" s="153">
        <f t="shared" si="10"/>
        <v>3611.83</v>
      </c>
      <c r="H45" s="153">
        <f t="shared" si="10"/>
        <v>3210.25</v>
      </c>
      <c r="I45" s="153">
        <f t="shared" si="10"/>
        <v>3090.61</v>
      </c>
      <c r="J45" s="153">
        <f t="shared" si="10"/>
        <v>5319.1</v>
      </c>
      <c r="K45" s="153">
        <f t="shared" si="10"/>
        <v>3681.09</v>
      </c>
      <c r="L45" s="153">
        <f t="shared" si="10"/>
        <v>3650.38</v>
      </c>
      <c r="M45" s="153">
        <f t="shared" si="10"/>
        <v>2316.92</v>
      </c>
      <c r="N45" s="153">
        <f t="shared" si="10"/>
        <v>796.9</v>
      </c>
      <c r="O45" s="153">
        <f>SUM(C45:N45)</f>
        <v>35261.97</v>
      </c>
      <c r="T45" s="193"/>
      <c r="U45" s="192"/>
    </row>
    <row r="46" spans="1:23" x14ac:dyDescent="0.2"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T46" s="193"/>
      <c r="U46" s="192"/>
    </row>
    <row r="47" spans="1:23" s="74" customFormat="1" ht="11.25" customHeight="1" x14ac:dyDescent="0.2">
      <c r="A47" s="74" t="s">
        <v>25</v>
      </c>
      <c r="B47" s="74" t="s">
        <v>93</v>
      </c>
      <c r="C47" s="50">
        <v>59171.68</v>
      </c>
      <c r="D47" s="50">
        <v>116096.32999999959</v>
      </c>
      <c r="E47" s="50">
        <v>144017.45000000019</v>
      </c>
      <c r="F47" s="50">
        <v>153851</v>
      </c>
      <c r="G47" s="50">
        <v>134929.89999999941</v>
      </c>
      <c r="H47" s="50">
        <v>84722.900000000373</v>
      </c>
      <c r="I47" s="50">
        <v>93125</v>
      </c>
      <c r="J47" s="50">
        <v>180027.89999999941</v>
      </c>
      <c r="K47" s="50">
        <v>117082.23</v>
      </c>
      <c r="L47" s="50">
        <v>310427.34999999963</v>
      </c>
      <c r="M47" s="50">
        <v>111035.29</v>
      </c>
      <c r="N47" s="50">
        <v>58270.569999999832</v>
      </c>
      <c r="O47" s="50">
        <f>SUM(C47:N47)</f>
        <v>1562757.5999999985</v>
      </c>
    </row>
    <row r="48" spans="1:23" s="74" customFormat="1" ht="11.25" customHeight="1" x14ac:dyDescent="0.2">
      <c r="A48" s="74" t="s">
        <v>26</v>
      </c>
      <c r="B48" s="74" t="s">
        <v>50</v>
      </c>
      <c r="C48" s="153">
        <f t="shared" ref="C48:N48" si="11">ROUND(C$5*C47/1000,2)</f>
        <v>329.29</v>
      </c>
      <c r="D48" s="153">
        <f t="shared" si="11"/>
        <v>646.76</v>
      </c>
      <c r="E48" s="153">
        <f t="shared" si="11"/>
        <v>801.59</v>
      </c>
      <c r="F48" s="153">
        <f t="shared" si="11"/>
        <v>856.93</v>
      </c>
      <c r="G48" s="153">
        <f t="shared" si="11"/>
        <v>753.1</v>
      </c>
      <c r="H48" s="153">
        <f t="shared" si="11"/>
        <v>473.51</v>
      </c>
      <c r="I48" s="153">
        <f t="shared" si="11"/>
        <v>525.45000000000005</v>
      </c>
      <c r="J48" s="153">
        <f t="shared" si="11"/>
        <v>1008.86</v>
      </c>
      <c r="K48" s="153">
        <f t="shared" si="11"/>
        <v>654.71</v>
      </c>
      <c r="L48" s="153">
        <f t="shared" si="11"/>
        <v>1734.99</v>
      </c>
      <c r="M48" s="153">
        <f t="shared" si="11"/>
        <v>618.65</v>
      </c>
      <c r="N48" s="153">
        <f t="shared" si="11"/>
        <v>325.35000000000002</v>
      </c>
      <c r="O48" s="153">
        <f>SUM(C48:N48)</f>
        <v>8729.1899999999987</v>
      </c>
    </row>
    <row r="49" spans="1:18" s="74" customFormat="1" ht="11.25" customHeight="1" x14ac:dyDescent="0.2"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</row>
    <row r="50" spans="1:18" s="74" customFormat="1" ht="11.25" customHeight="1" x14ac:dyDescent="0.2">
      <c r="A50" s="74" t="s">
        <v>27</v>
      </c>
      <c r="B50" s="74" t="s">
        <v>93</v>
      </c>
      <c r="C50" s="50">
        <v>28236.06</v>
      </c>
      <c r="D50" s="50">
        <v>127461.27</v>
      </c>
      <c r="E50" s="50">
        <v>217219.93999999989</v>
      </c>
      <c r="F50" s="50">
        <v>237940.5999999996</v>
      </c>
      <c r="G50" s="50">
        <v>237849.10000000059</v>
      </c>
      <c r="H50" s="50">
        <v>138879.39999999941</v>
      </c>
      <c r="I50" s="50">
        <v>131226.00000000099</v>
      </c>
      <c r="J50" s="50">
        <v>244658.19999999931</v>
      </c>
      <c r="K50" s="50">
        <v>149069.70000000001</v>
      </c>
      <c r="L50" s="50">
        <v>370999.86</v>
      </c>
      <c r="M50" s="50">
        <v>92900.589999999851</v>
      </c>
      <c r="N50" s="50">
        <v>22099.821000000458</v>
      </c>
      <c r="O50" s="50">
        <f>SUM(C50:N50)</f>
        <v>1998540.5410000002</v>
      </c>
      <c r="Q50" s="50"/>
    </row>
    <row r="51" spans="1:18" s="74" customFormat="1" ht="11.25" customHeight="1" x14ac:dyDescent="0.2">
      <c r="A51" s="74" t="s">
        <v>28</v>
      </c>
      <c r="B51" s="74" t="s">
        <v>50</v>
      </c>
      <c r="C51" s="153">
        <f t="shared" ref="C51:N51" si="12">ROUND(C$5*C50/1000,2)</f>
        <v>157.13999999999999</v>
      </c>
      <c r="D51" s="153">
        <f t="shared" si="12"/>
        <v>710.08</v>
      </c>
      <c r="E51" s="153">
        <f t="shared" si="12"/>
        <v>1209.02</v>
      </c>
      <c r="F51" s="153">
        <f t="shared" si="12"/>
        <v>1325.29</v>
      </c>
      <c r="G51" s="153">
        <f t="shared" si="12"/>
        <v>1327.53</v>
      </c>
      <c r="H51" s="153">
        <f t="shared" si="12"/>
        <v>776.19</v>
      </c>
      <c r="I51" s="153">
        <f t="shared" si="12"/>
        <v>740.43</v>
      </c>
      <c r="J51" s="153">
        <f t="shared" si="12"/>
        <v>1371.04</v>
      </c>
      <c r="K51" s="153">
        <f t="shared" si="12"/>
        <v>833.58</v>
      </c>
      <c r="L51" s="153">
        <f t="shared" si="12"/>
        <v>2073.5300000000002</v>
      </c>
      <c r="M51" s="153">
        <f t="shared" si="12"/>
        <v>517.61</v>
      </c>
      <c r="N51" s="153">
        <f t="shared" si="12"/>
        <v>123.39</v>
      </c>
      <c r="O51" s="153">
        <f>SUM(C51:N51)</f>
        <v>11164.830000000002</v>
      </c>
    </row>
    <row r="52" spans="1:18" s="74" customFormat="1" ht="11.25" customHeight="1" x14ac:dyDescent="0.2"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</row>
    <row r="53" spans="1:18" s="74" customFormat="1" ht="11.25" customHeight="1" x14ac:dyDescent="0.2">
      <c r="A53" s="74" t="s">
        <v>29</v>
      </c>
      <c r="B53" s="74" t="s">
        <v>93</v>
      </c>
      <c r="C53" s="50">
        <v>225348.78</v>
      </c>
      <c r="D53" s="50">
        <v>500892.04000000103</v>
      </c>
      <c r="E53" s="50">
        <v>692678.96999999881</v>
      </c>
      <c r="F53" s="50">
        <v>682530.09999999963</v>
      </c>
      <c r="G53" s="50">
        <v>536345.09999999963</v>
      </c>
      <c r="H53" s="50">
        <v>311386.5</v>
      </c>
      <c r="I53" s="50">
        <v>284572.10000000149</v>
      </c>
      <c r="J53" s="50">
        <v>618418.09999999776</v>
      </c>
      <c r="K53" s="50">
        <v>408003.96</v>
      </c>
      <c r="L53" s="50">
        <v>560189.31999999995</v>
      </c>
      <c r="M53" s="50">
        <v>257711.98000000039</v>
      </c>
      <c r="N53" s="50">
        <v>131498.94000000131</v>
      </c>
      <c r="O53" s="50">
        <f>SUM(C53:N53)</f>
        <v>5209575.8900000006</v>
      </c>
      <c r="Q53" s="50"/>
    </row>
    <row r="54" spans="1:18" s="74" customFormat="1" ht="11.25" customHeight="1" x14ac:dyDescent="0.2">
      <c r="B54" s="53" t="s">
        <v>50</v>
      </c>
      <c r="C54" s="194">
        <f t="shared" ref="C54:N54" si="13">ROUND(C$5*C53/1000,2)</f>
        <v>1254.08</v>
      </c>
      <c r="D54" s="194">
        <f t="shared" si="13"/>
        <v>2790.43</v>
      </c>
      <c r="E54" s="194">
        <f t="shared" si="13"/>
        <v>3855.38</v>
      </c>
      <c r="F54" s="194">
        <f t="shared" si="13"/>
        <v>3801.59</v>
      </c>
      <c r="G54" s="194">
        <f t="shared" si="13"/>
        <v>2993.56</v>
      </c>
      <c r="H54" s="194">
        <f t="shared" si="13"/>
        <v>1740.32</v>
      </c>
      <c r="I54" s="194">
        <f t="shared" si="13"/>
        <v>1605.67</v>
      </c>
      <c r="J54" s="194">
        <f t="shared" si="13"/>
        <v>3465.54</v>
      </c>
      <c r="K54" s="194">
        <f t="shared" si="13"/>
        <v>2281.5100000000002</v>
      </c>
      <c r="L54" s="194">
        <f t="shared" si="13"/>
        <v>3130.91</v>
      </c>
      <c r="M54" s="194">
        <f t="shared" si="13"/>
        <v>1435.88</v>
      </c>
      <c r="N54" s="194">
        <f t="shared" si="13"/>
        <v>734.21</v>
      </c>
      <c r="O54" s="153">
        <f>SUM(C54:N54)</f>
        <v>29089.08</v>
      </c>
    </row>
    <row r="55" spans="1:18" x14ac:dyDescent="0.2">
      <c r="A55" s="76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131"/>
    </row>
    <row r="56" spans="1:18" s="55" customFormat="1" x14ac:dyDescent="0.2">
      <c r="A56" s="74" t="s">
        <v>98</v>
      </c>
      <c r="B56" s="97"/>
      <c r="C56" s="83">
        <f t="shared" ref="C56:O56" si="14">C8++C47+CB6104+C16+C19+C23+C27+C31+C35+C38+C41+C44+C50+C12+C53</f>
        <v>700438.27</v>
      </c>
      <c r="D56" s="83">
        <f t="shared" si="14"/>
        <v>1323502.9750000003</v>
      </c>
      <c r="E56" s="83">
        <f t="shared" si="14"/>
        <v>2327975.2399999993</v>
      </c>
      <c r="F56" s="83">
        <f t="shared" si="14"/>
        <v>2468337.7099999981</v>
      </c>
      <c r="G56" s="83">
        <f t="shared" si="14"/>
        <v>2114188.4400000004</v>
      </c>
      <c r="H56" s="83">
        <f t="shared" si="14"/>
        <v>1433232.8499999999</v>
      </c>
      <c r="I56" s="83">
        <f t="shared" si="14"/>
        <v>1381509.2900000021</v>
      </c>
      <c r="J56" s="83">
        <f t="shared" si="14"/>
        <v>2605544.6899999958</v>
      </c>
      <c r="K56" s="83">
        <f t="shared" si="14"/>
        <v>1887330.35</v>
      </c>
      <c r="L56" s="83">
        <f t="shared" si="14"/>
        <v>2486466.3999999985</v>
      </c>
      <c r="M56" s="83">
        <f t="shared" si="14"/>
        <v>1187673.5600000008</v>
      </c>
      <c r="N56" s="83">
        <f t="shared" si="14"/>
        <v>458213.99100000039</v>
      </c>
      <c r="O56" s="83">
        <f t="shared" si="14"/>
        <v>20374413.765999991</v>
      </c>
      <c r="P56" s="83">
        <f>SUM(C56:N56)</f>
        <v>20374413.765999999</v>
      </c>
    </row>
    <row r="57" spans="1:18" x14ac:dyDescent="0.2">
      <c r="A57" s="74" t="s">
        <v>68</v>
      </c>
      <c r="C57" s="195">
        <f t="shared" ref="C57:O57" si="15">C9+C54+C48+CB6105+C17+C20+C24+C28+C32+C36+C39+C42+C45+C51+C13</f>
        <v>3898</v>
      </c>
      <c r="D57" s="195">
        <f t="shared" si="15"/>
        <v>7373.14</v>
      </c>
      <c r="E57" s="195">
        <f t="shared" si="15"/>
        <v>12957.250000000002</v>
      </c>
      <c r="F57" s="195">
        <f t="shared" si="15"/>
        <v>13748.280000000002</v>
      </c>
      <c r="G57" s="195">
        <f t="shared" si="15"/>
        <v>11800.14</v>
      </c>
      <c r="H57" s="195">
        <f t="shared" si="15"/>
        <v>8010.2700000000013</v>
      </c>
      <c r="I57" s="195">
        <f t="shared" si="15"/>
        <v>7795.0300000000007</v>
      </c>
      <c r="J57" s="195">
        <f t="shared" si="15"/>
        <v>14601.170000000002</v>
      </c>
      <c r="K57" s="195">
        <f t="shared" si="15"/>
        <v>10553.720000000001</v>
      </c>
      <c r="L57" s="195">
        <f t="shared" si="15"/>
        <v>13896.920000000002</v>
      </c>
      <c r="M57" s="195">
        <f t="shared" si="15"/>
        <v>6617.28</v>
      </c>
      <c r="N57" s="195">
        <f t="shared" si="15"/>
        <v>2558.3999999999996</v>
      </c>
      <c r="O57" s="195">
        <f t="shared" si="15"/>
        <v>113809.60000000001</v>
      </c>
      <c r="P57" s="195">
        <f>SUM(C57:N57)</f>
        <v>113809.59999999999</v>
      </c>
      <c r="R57" s="196"/>
    </row>
    <row r="59" spans="1:18" x14ac:dyDescent="0.2">
      <c r="A59" s="34" t="s">
        <v>34</v>
      </c>
      <c r="N59" s="132"/>
    </row>
    <row r="60" spans="1:18" x14ac:dyDescent="0.2">
      <c r="A60" s="34" t="s">
        <v>99</v>
      </c>
      <c r="N60" s="132"/>
    </row>
    <row r="61" spans="1:18" x14ac:dyDescent="0.2">
      <c r="A61" s="128" t="s">
        <v>100</v>
      </c>
      <c r="N61" s="132"/>
    </row>
  </sheetData>
  <printOptions horizontalCentered="1" verticalCentered="1"/>
  <pageMargins left="0" right="0" top="0.5" bottom="0.5" header="0.5" footer="0.5"/>
  <pageSetup scale="70"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13" workbookViewId="0">
      <selection activeCell="E41" sqref="E41"/>
    </sheetView>
  </sheetViews>
  <sheetFormatPr defaultColWidth="9.140625" defaultRowHeight="11.25" x14ac:dyDescent="0.2"/>
  <cols>
    <col min="1" max="1" width="28.5703125" style="54" customWidth="1"/>
    <col min="2" max="2" width="13.42578125" style="54" bestFit="1" customWidth="1"/>
    <col min="3" max="4" width="8.7109375" style="54" customWidth="1"/>
    <col min="5" max="5" width="20.7109375" style="54" customWidth="1"/>
    <col min="6" max="7" width="9.140625" style="54" customWidth="1"/>
    <col min="8" max="8" width="18.28515625" style="54" customWidth="1"/>
    <col min="9" max="9" width="9.140625" style="54" customWidth="1"/>
    <col min="10" max="16384" width="9.140625" style="54"/>
  </cols>
  <sheetData>
    <row r="1" spans="1:9" ht="15.75" customHeight="1" x14ac:dyDescent="0.2">
      <c r="A1" s="60" t="s">
        <v>3</v>
      </c>
      <c r="B1" s="60" t="s">
        <v>7</v>
      </c>
      <c r="E1" s="61" t="s">
        <v>71</v>
      </c>
      <c r="H1" s="61" t="s">
        <v>101</v>
      </c>
    </row>
    <row r="2" spans="1:9" ht="12.75" customHeight="1" x14ac:dyDescent="0.2">
      <c r="B2" s="60"/>
      <c r="E2" s="61"/>
    </row>
    <row r="3" spans="1:9" s="130" customFormat="1" ht="12.75" customHeight="1" x14ac:dyDescent="0.2">
      <c r="C3" s="197"/>
      <c r="D3" s="197"/>
      <c r="I3" s="197"/>
    </row>
    <row r="4" spans="1:9" s="198" customFormat="1" ht="22.5" customHeight="1" x14ac:dyDescent="0.2">
      <c r="B4" s="199" t="s">
        <v>46</v>
      </c>
      <c r="C4" s="200">
        <v>39177</v>
      </c>
      <c r="E4" s="199" t="s">
        <v>46</v>
      </c>
      <c r="F4" s="200">
        <v>39177</v>
      </c>
      <c r="H4" s="55" t="s">
        <v>46</v>
      </c>
      <c r="I4" s="200">
        <v>39177</v>
      </c>
    </row>
    <row r="5" spans="1:9" s="58" customFormat="1" ht="12.75" customHeight="1" x14ac:dyDescent="0.2">
      <c r="A5" s="130"/>
      <c r="B5" s="55"/>
      <c r="C5" s="201"/>
      <c r="D5" s="201"/>
      <c r="E5" s="55"/>
      <c r="F5" s="130"/>
      <c r="G5" s="130"/>
      <c r="H5" s="55"/>
      <c r="I5" s="202"/>
    </row>
    <row r="6" spans="1:9" s="58" customFormat="1" ht="12.75" customHeight="1" x14ac:dyDescent="0.2"/>
    <row r="7" spans="1:9" s="58" customFormat="1" ht="21" customHeight="1" x14ac:dyDescent="0.2">
      <c r="A7" s="58" t="s">
        <v>102</v>
      </c>
      <c r="B7" s="56" t="s">
        <v>56</v>
      </c>
      <c r="C7" s="59">
        <v>397812</v>
      </c>
      <c r="D7" s="57"/>
      <c r="E7" s="56" t="s">
        <v>103</v>
      </c>
      <c r="F7" s="59">
        <v>1893</v>
      </c>
      <c r="H7" s="56" t="s">
        <v>91</v>
      </c>
      <c r="I7" s="59">
        <v>652198</v>
      </c>
    </row>
    <row r="8" spans="1:9" s="58" customFormat="1" ht="12.75" customHeight="1" x14ac:dyDescent="0.2">
      <c r="B8" s="56"/>
      <c r="C8" s="57"/>
      <c r="D8" s="57"/>
      <c r="E8" s="56"/>
      <c r="F8" s="57"/>
      <c r="H8" s="56"/>
      <c r="I8" s="57"/>
    </row>
    <row r="9" spans="1:9" s="58" customFormat="1" ht="12.75" customHeight="1" x14ac:dyDescent="0.2">
      <c r="B9" s="56"/>
      <c r="C9" s="57"/>
      <c r="D9" s="57"/>
      <c r="E9" s="56"/>
      <c r="F9" s="57"/>
      <c r="H9" s="56"/>
      <c r="I9" s="57"/>
    </row>
    <row r="10" spans="1:9" s="58" customFormat="1" ht="12.75" customHeight="1" x14ac:dyDescent="0.2">
      <c r="C10" s="203"/>
      <c r="D10" s="203"/>
      <c r="E10" s="56"/>
      <c r="F10" s="203"/>
      <c r="H10" s="56"/>
      <c r="I10" s="203"/>
    </row>
    <row r="11" spans="1:9" s="58" customFormat="1" ht="21" customHeight="1" x14ac:dyDescent="0.2">
      <c r="A11" s="58" t="s">
        <v>104</v>
      </c>
      <c r="B11" s="56" t="s">
        <v>56</v>
      </c>
      <c r="C11" s="59">
        <v>191212</v>
      </c>
      <c r="D11" s="57"/>
      <c r="E11" s="56" t="s">
        <v>103</v>
      </c>
      <c r="F11" s="59">
        <v>4741</v>
      </c>
      <c r="H11" s="56" t="s">
        <v>91</v>
      </c>
      <c r="I11" s="59">
        <v>1221637</v>
      </c>
    </row>
    <row r="12" spans="1:9" s="58" customFormat="1" ht="12.75" customHeight="1" x14ac:dyDescent="0.2">
      <c r="B12" s="56"/>
      <c r="C12" s="57"/>
      <c r="D12" s="57"/>
      <c r="E12" s="56"/>
      <c r="F12" s="57"/>
      <c r="H12" s="56"/>
      <c r="I12" s="57"/>
    </row>
    <row r="13" spans="1:9" s="58" customFormat="1" ht="12.75" customHeight="1" x14ac:dyDescent="0.2">
      <c r="B13" s="56"/>
      <c r="C13" s="57"/>
      <c r="D13" s="57"/>
      <c r="E13" s="56"/>
      <c r="F13" s="57"/>
      <c r="H13" s="56"/>
      <c r="I13" s="57"/>
    </row>
    <row r="14" spans="1:9" s="58" customFormat="1" ht="12.75" customHeight="1" x14ac:dyDescent="0.2">
      <c r="C14" s="203"/>
      <c r="D14" s="203"/>
      <c r="E14" s="56"/>
      <c r="F14" s="203"/>
      <c r="H14" s="56"/>
      <c r="I14" s="203"/>
    </row>
    <row r="15" spans="1:9" s="58" customFormat="1" ht="21" customHeight="1" x14ac:dyDescent="0.2">
      <c r="A15" s="58" t="s">
        <v>12</v>
      </c>
      <c r="B15" s="56" t="s">
        <v>56</v>
      </c>
      <c r="C15" s="59">
        <v>91887</v>
      </c>
      <c r="D15" s="57"/>
      <c r="F15" s="57"/>
      <c r="H15" s="56" t="s">
        <v>91</v>
      </c>
      <c r="I15" s="59">
        <v>660331</v>
      </c>
    </row>
    <row r="16" spans="1:9" s="58" customFormat="1" ht="12.75" customHeight="1" x14ac:dyDescent="0.2">
      <c r="B16" s="56"/>
      <c r="C16" s="57"/>
      <c r="D16" s="57"/>
      <c r="F16" s="57"/>
      <c r="H16" s="56"/>
      <c r="I16" s="57"/>
    </row>
    <row r="17" spans="1:9" s="58" customFormat="1" ht="12.75" customHeight="1" x14ac:dyDescent="0.2">
      <c r="B17" s="56"/>
      <c r="C17" s="57"/>
      <c r="D17" s="57"/>
      <c r="F17" s="57"/>
      <c r="H17" s="56"/>
      <c r="I17" s="57"/>
    </row>
    <row r="18" spans="1:9" s="58" customFormat="1" ht="12.75" customHeight="1" x14ac:dyDescent="0.2">
      <c r="C18" s="203"/>
      <c r="D18" s="203"/>
      <c r="F18" s="203"/>
      <c r="I18" s="203"/>
    </row>
    <row r="19" spans="1:9" s="58" customFormat="1" ht="21" customHeight="1" x14ac:dyDescent="0.2">
      <c r="A19" s="58" t="s">
        <v>13</v>
      </c>
      <c r="B19" s="56" t="s">
        <v>56</v>
      </c>
      <c r="C19" s="59">
        <v>20160</v>
      </c>
      <c r="D19" s="57"/>
      <c r="F19" s="57"/>
      <c r="H19" s="56" t="s">
        <v>91</v>
      </c>
      <c r="I19" s="59">
        <v>990145</v>
      </c>
    </row>
    <row r="20" spans="1:9" s="58" customFormat="1" ht="12.75" customHeight="1" x14ac:dyDescent="0.2">
      <c r="B20" s="56"/>
      <c r="C20" s="57"/>
      <c r="D20" s="57"/>
      <c r="F20" s="57"/>
      <c r="H20" s="56"/>
      <c r="I20" s="57"/>
    </row>
    <row r="21" spans="1:9" s="58" customFormat="1" ht="12.75" customHeight="1" x14ac:dyDescent="0.2">
      <c r="B21" s="56"/>
      <c r="C21" s="57"/>
      <c r="D21" s="57"/>
      <c r="F21" s="57"/>
      <c r="H21" s="56"/>
      <c r="I21" s="57"/>
    </row>
    <row r="22" spans="1:9" s="58" customFormat="1" ht="12.75" customHeight="1" x14ac:dyDescent="0.2">
      <c r="C22" s="203"/>
      <c r="D22" s="203"/>
      <c r="F22" s="203"/>
      <c r="I22" s="203"/>
    </row>
    <row r="23" spans="1:9" s="58" customFormat="1" ht="21" customHeight="1" x14ac:dyDescent="0.2">
      <c r="A23" s="58" t="s">
        <v>14</v>
      </c>
      <c r="B23" s="56" t="s">
        <v>56</v>
      </c>
      <c r="C23" s="59">
        <v>288887</v>
      </c>
      <c r="D23" s="57"/>
      <c r="F23" s="57"/>
      <c r="I23" s="57"/>
    </row>
    <row r="24" spans="1:9" s="58" customFormat="1" ht="12.75" customHeight="1" x14ac:dyDescent="0.2">
      <c r="B24" s="56"/>
      <c r="C24" s="57"/>
      <c r="D24" s="57"/>
      <c r="F24" s="57"/>
      <c r="I24" s="203"/>
    </row>
    <row r="25" spans="1:9" s="58" customFormat="1" ht="12.75" customHeight="1" x14ac:dyDescent="0.2">
      <c r="B25" s="56"/>
      <c r="C25" s="57"/>
      <c r="D25" s="57"/>
      <c r="F25" s="57"/>
      <c r="I25" s="203"/>
    </row>
    <row r="26" spans="1:9" s="58" customFormat="1" ht="12.75" customHeight="1" x14ac:dyDescent="0.2">
      <c r="C26" s="203"/>
      <c r="D26" s="203"/>
      <c r="F26" s="203"/>
    </row>
    <row r="27" spans="1:9" s="58" customFormat="1" ht="21" customHeight="1" x14ac:dyDescent="0.2">
      <c r="A27" s="58" t="s">
        <v>15</v>
      </c>
      <c r="B27" s="56" t="s">
        <v>56</v>
      </c>
      <c r="C27" s="59">
        <v>24605</v>
      </c>
      <c r="D27" s="57"/>
      <c r="F27" s="57"/>
      <c r="I27" s="57"/>
    </row>
    <row r="28" spans="1:9" s="58" customFormat="1" ht="12.75" customHeight="1" x14ac:dyDescent="0.2">
      <c r="B28" s="56"/>
      <c r="C28" s="57"/>
      <c r="D28" s="57"/>
      <c r="F28" s="57"/>
      <c r="I28" s="203"/>
    </row>
    <row r="29" spans="1:9" s="58" customFormat="1" ht="12.75" customHeight="1" x14ac:dyDescent="0.2">
      <c r="B29" s="56"/>
      <c r="C29" s="57"/>
      <c r="D29" s="57"/>
      <c r="F29" s="57"/>
      <c r="I29" s="203"/>
    </row>
    <row r="30" spans="1:9" s="58" customFormat="1" ht="12.75" customHeight="1" x14ac:dyDescent="0.2">
      <c r="C30" s="203"/>
      <c r="D30" s="203"/>
      <c r="F30" s="203"/>
    </row>
    <row r="31" spans="1:9" s="58" customFormat="1" ht="21" customHeight="1" x14ac:dyDescent="0.2">
      <c r="A31" s="58" t="s">
        <v>17</v>
      </c>
      <c r="B31" s="56" t="s">
        <v>56</v>
      </c>
      <c r="C31" s="59">
        <v>45273</v>
      </c>
      <c r="D31" s="57"/>
      <c r="F31" s="57"/>
      <c r="I31" s="57"/>
    </row>
    <row r="32" spans="1:9" s="58" customFormat="1" ht="12.75" customHeight="1" x14ac:dyDescent="0.2">
      <c r="B32" s="56"/>
      <c r="C32" s="57"/>
      <c r="D32" s="57"/>
      <c r="F32" s="57"/>
      <c r="I32" s="203"/>
    </row>
    <row r="33" spans="1:9" s="58" customFormat="1" ht="12.75" customHeight="1" x14ac:dyDescent="0.2">
      <c r="B33" s="56"/>
      <c r="C33" s="57"/>
      <c r="D33" s="57"/>
      <c r="F33" s="57"/>
      <c r="I33" s="203"/>
    </row>
    <row r="34" spans="1:9" s="58" customFormat="1" ht="12.75" customHeight="1" x14ac:dyDescent="0.2">
      <c r="C34" s="203"/>
      <c r="D34" s="203"/>
      <c r="F34" s="203"/>
    </row>
    <row r="35" spans="1:9" s="58" customFormat="1" ht="21" customHeight="1" x14ac:dyDescent="0.2">
      <c r="A35" s="58" t="s">
        <v>94</v>
      </c>
      <c r="B35" s="56" t="s">
        <v>56</v>
      </c>
      <c r="C35" s="59">
        <v>39799</v>
      </c>
      <c r="D35" s="57"/>
      <c r="F35" s="57"/>
      <c r="I35" s="57"/>
    </row>
    <row r="36" spans="1:9" s="58" customFormat="1" ht="12.75" customHeight="1" x14ac:dyDescent="0.2">
      <c r="B36" s="56"/>
      <c r="C36" s="57"/>
      <c r="D36" s="57"/>
      <c r="F36" s="57"/>
      <c r="I36" s="203"/>
    </row>
    <row r="37" spans="1:9" s="58" customFormat="1" ht="12.75" customHeight="1" x14ac:dyDescent="0.2">
      <c r="B37" s="56"/>
      <c r="C37" s="57"/>
      <c r="D37" s="57"/>
      <c r="F37" s="57"/>
      <c r="I37" s="203"/>
    </row>
    <row r="38" spans="1:9" s="58" customFormat="1" ht="12.75" customHeight="1" x14ac:dyDescent="0.2">
      <c r="C38" s="203"/>
      <c r="D38" s="203"/>
      <c r="F38" s="203"/>
    </row>
    <row r="39" spans="1:9" s="58" customFormat="1" ht="21" customHeight="1" x14ac:dyDescent="0.2">
      <c r="A39" s="58" t="s">
        <v>95</v>
      </c>
      <c r="B39" s="56" t="s">
        <v>56</v>
      </c>
      <c r="C39" s="59">
        <v>60674</v>
      </c>
      <c r="D39" s="57"/>
      <c r="F39" s="57"/>
      <c r="H39" s="56" t="s">
        <v>91</v>
      </c>
      <c r="I39" s="59">
        <v>329898</v>
      </c>
    </row>
    <row r="40" spans="1:9" s="58" customFormat="1" ht="12.75" customHeight="1" x14ac:dyDescent="0.2">
      <c r="B40" s="56"/>
      <c r="C40" s="57"/>
      <c r="D40" s="57"/>
      <c r="F40" s="57"/>
      <c r="H40" s="56"/>
      <c r="I40" s="57"/>
    </row>
    <row r="41" spans="1:9" s="58" customFormat="1" ht="12.75" customHeight="1" x14ac:dyDescent="0.2">
      <c r="B41" s="56"/>
      <c r="C41" s="57"/>
      <c r="D41" s="57"/>
      <c r="F41" s="57"/>
      <c r="H41" s="56"/>
      <c r="I41" s="57"/>
    </row>
    <row r="42" spans="1:9" s="58" customFormat="1" ht="12.75" customHeight="1" x14ac:dyDescent="0.2">
      <c r="C42" s="203"/>
      <c r="D42" s="203"/>
      <c r="F42" s="203"/>
      <c r="I42" s="203"/>
    </row>
    <row r="43" spans="1:9" s="58" customFormat="1" ht="21" customHeight="1" x14ac:dyDescent="0.2">
      <c r="A43" s="58" t="s">
        <v>21</v>
      </c>
      <c r="B43" s="56" t="s">
        <v>56</v>
      </c>
      <c r="C43" s="59">
        <v>47599</v>
      </c>
      <c r="D43" s="57"/>
      <c r="F43" s="57"/>
    </row>
    <row r="44" spans="1:9" s="58" customFormat="1" ht="12.75" customHeight="1" x14ac:dyDescent="0.2">
      <c r="B44" s="56"/>
      <c r="C44" s="57"/>
      <c r="D44" s="57"/>
      <c r="F44" s="57"/>
      <c r="I44" s="57"/>
    </row>
    <row r="45" spans="1:9" s="58" customFormat="1" ht="12.75" customHeight="1" x14ac:dyDescent="0.2">
      <c r="B45" s="56"/>
      <c r="C45" s="57"/>
      <c r="D45" s="57"/>
      <c r="F45" s="57"/>
      <c r="I45" s="57"/>
    </row>
    <row r="46" spans="1:9" s="58" customFormat="1" ht="12.75" customHeight="1" x14ac:dyDescent="0.2">
      <c r="C46" s="203"/>
      <c r="D46" s="203"/>
      <c r="F46" s="203"/>
      <c r="I46" s="203"/>
    </row>
    <row r="47" spans="1:9" s="58" customFormat="1" ht="21" customHeight="1" x14ac:dyDescent="0.2">
      <c r="A47" s="58" t="s">
        <v>96</v>
      </c>
      <c r="B47" s="56" t="s">
        <v>56</v>
      </c>
      <c r="C47" s="59">
        <v>109408</v>
      </c>
      <c r="D47" s="57"/>
      <c r="F47" s="57"/>
    </row>
    <row r="48" spans="1:9" s="58" customFormat="1" ht="12.75" customHeight="1" x14ac:dyDescent="0.2">
      <c r="B48" s="56"/>
      <c r="C48" s="57"/>
      <c r="D48" s="57"/>
      <c r="I48" s="57"/>
    </row>
    <row r="49" spans="1:9" ht="12.75" customHeight="1" x14ac:dyDescent="0.2">
      <c r="C49" s="204"/>
      <c r="D49" s="204"/>
      <c r="I49" s="204"/>
    </row>
    <row r="50" spans="1:9" ht="12.75" customHeight="1" x14ac:dyDescent="0.2"/>
    <row r="51" spans="1:9" ht="12.75" customHeight="1" x14ac:dyDescent="0.2">
      <c r="A51" s="58" t="s">
        <v>105</v>
      </c>
      <c r="B51" s="56" t="s">
        <v>56</v>
      </c>
      <c r="C51" s="59">
        <v>63988</v>
      </c>
      <c r="D51" s="57"/>
      <c r="E51" s="56" t="s">
        <v>103</v>
      </c>
      <c r="F51" s="59">
        <v>9726</v>
      </c>
    </row>
    <row r="52" spans="1:9" ht="12.75" customHeight="1" x14ac:dyDescent="0.2">
      <c r="A52" s="58"/>
      <c r="B52" s="56"/>
      <c r="C52" s="57"/>
      <c r="D52" s="57"/>
      <c r="E52" s="56"/>
      <c r="F52" s="57"/>
    </row>
    <row r="55" spans="1:9" x14ac:dyDescent="0.2">
      <c r="A55" s="62"/>
    </row>
    <row r="56" spans="1:9" x14ac:dyDescent="0.2">
      <c r="A56" s="62"/>
    </row>
  </sheetData>
  <pageMargins left="0" right="0" top="0.5" bottom="0.5" header="0.5" footer="0.5"/>
  <pageSetup scale="82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1"/>
  <sheetViews>
    <sheetView topLeftCell="A116" workbookViewId="0">
      <selection activeCell="C139" sqref="C139"/>
    </sheetView>
  </sheetViews>
  <sheetFormatPr defaultRowHeight="12.75" x14ac:dyDescent="0.2"/>
  <cols>
    <col min="1" max="1" width="20.140625" style="2" customWidth="1"/>
    <col min="2" max="7" width="11.7109375" style="2" customWidth="1"/>
    <col min="8" max="8" width="10.140625" style="2" bestFit="1" customWidth="1"/>
    <col min="9" max="9" width="17.7109375" style="2" bestFit="1" customWidth="1"/>
    <col min="10" max="10" width="10" style="2" bestFit="1" customWidth="1"/>
    <col min="11" max="15" width="12" style="2" bestFit="1" customWidth="1"/>
  </cols>
  <sheetData>
    <row r="1" spans="1:8" ht="15.75" customHeight="1" x14ac:dyDescent="0.25">
      <c r="A1" s="22" t="s">
        <v>106</v>
      </c>
    </row>
    <row r="2" spans="1:8" x14ac:dyDescent="0.2">
      <c r="A2" s="128"/>
      <c r="B2" s="128"/>
      <c r="C2" s="128"/>
      <c r="D2" s="128"/>
      <c r="E2" s="128"/>
      <c r="F2" s="128"/>
    </row>
    <row r="3" spans="1:8" ht="25.5" customHeight="1" x14ac:dyDescent="0.2">
      <c r="A3" s="1" t="s">
        <v>3</v>
      </c>
      <c r="B3" s="17" t="s">
        <v>4</v>
      </c>
      <c r="C3" s="35" t="s">
        <v>7</v>
      </c>
      <c r="D3" s="35" t="s">
        <v>71</v>
      </c>
      <c r="E3" s="36" t="s">
        <v>107</v>
      </c>
      <c r="F3" s="36" t="s">
        <v>108</v>
      </c>
      <c r="G3" s="36" t="s">
        <v>109</v>
      </c>
    </row>
    <row r="4" spans="1:8" x14ac:dyDescent="0.2">
      <c r="A4" s="221" t="s">
        <v>110</v>
      </c>
      <c r="B4" s="37" t="s">
        <v>111</v>
      </c>
      <c r="C4" s="205">
        <f>IF(ISBLANK('Electric old'!G4),"-",'Electric old'!G4)</f>
        <v>1460.3728572611496</v>
      </c>
      <c r="D4" s="206" t="s">
        <v>112</v>
      </c>
      <c r="E4" s="205" t="str">
        <f>IF(ISBLANK('Water Old'!G4),"-",'Water Old'!G4)</f>
        <v>-</v>
      </c>
      <c r="F4" s="206" t="s">
        <v>112</v>
      </c>
      <c r="G4" s="206" t="s">
        <v>112</v>
      </c>
    </row>
    <row r="5" spans="1:8" x14ac:dyDescent="0.2">
      <c r="A5" s="222"/>
      <c r="B5" s="37" t="s">
        <v>113</v>
      </c>
      <c r="C5" s="205">
        <f>IF(ISBLANK('Electric old'!G5),"-",'Electric old'!G5)</f>
        <v>2164.4370943652407</v>
      </c>
      <c r="D5" s="206" t="s">
        <v>112</v>
      </c>
      <c r="E5" s="205" t="str">
        <f>IF(ISBLANK('Water Old'!G5),"-",'Water Old'!G5)</f>
        <v>-</v>
      </c>
      <c r="F5" s="206" t="s">
        <v>112</v>
      </c>
      <c r="G5" s="206" t="s">
        <v>112</v>
      </c>
      <c r="H5" t="s">
        <v>16</v>
      </c>
    </row>
    <row r="6" spans="1:8" x14ac:dyDescent="0.2">
      <c r="A6" s="222"/>
      <c r="B6" s="37" t="s">
        <v>114</v>
      </c>
      <c r="C6" s="205">
        <f>IF(ISBLANK('Electric old'!G6),"-",'Electric old'!G6)</f>
        <v>2513.2609600000001</v>
      </c>
      <c r="D6" s="206" t="s">
        <v>112</v>
      </c>
      <c r="E6" s="205" t="str">
        <f>IF(ISBLANK('Water Old'!G6),"-",'Water Old'!G6)</f>
        <v>-</v>
      </c>
      <c r="F6" s="205">
        <f t="shared" ref="F6:F15" si="0">SUM(C6:E6)</f>
        <v>2513.2609600000001</v>
      </c>
      <c r="G6" s="207">
        <f>F6</f>
        <v>2513.2609600000001</v>
      </c>
    </row>
    <row r="7" spans="1:8" x14ac:dyDescent="0.2">
      <c r="A7" s="222"/>
      <c r="B7" s="37" t="s">
        <v>115</v>
      </c>
      <c r="C7" s="205">
        <f>IF(ISBLANK('Electric old'!G7),"-",'Electric old'!G7)</f>
        <v>2178.8764200000001</v>
      </c>
      <c r="D7" s="205">
        <f>IF(ISBLANK(4/24*('Gas Old'!$H$4+'Gas Old'!$H$13)),"-",4/24*('Gas Old'!$H$4+'Gas Old'!$H$13))</f>
        <v>945.80903999999987</v>
      </c>
      <c r="E7" s="205">
        <f>IF(ISBLANK('Water Old'!G7),"-",'Water Old'!G7)</f>
        <v>320.35941728099999</v>
      </c>
      <c r="F7" s="205">
        <f t="shared" si="0"/>
        <v>3445.0448772809996</v>
      </c>
      <c r="G7" s="207">
        <f t="shared" ref="G7:G15" si="1">F7+G6</f>
        <v>5958.3058372809992</v>
      </c>
    </row>
    <row r="8" spans="1:8" x14ac:dyDescent="0.2">
      <c r="A8" s="222"/>
      <c r="B8" s="37" t="s">
        <v>116</v>
      </c>
      <c r="C8" s="205">
        <f>IF(ISBLANK('Electric old'!G8),"-",'Electric old'!G8)</f>
        <v>2305.0137599999998</v>
      </c>
      <c r="D8" s="205">
        <f>IF(ISBLANK(4/24*('Gas Old'!$H$5+'Gas Old'!$H$14)),"-",4/24*('Gas Old'!$H$5+'Gas Old'!$H$14))</f>
        <v>616.46603999999991</v>
      </c>
      <c r="E8" s="205">
        <f>IF(ISBLANK('Water Old'!G8),"-",'Water Old'!G8)</f>
        <v>174.4049892459968</v>
      </c>
      <c r="F8" s="205">
        <f t="shared" si="0"/>
        <v>3095.8847892459962</v>
      </c>
      <c r="G8" s="207">
        <f t="shared" si="1"/>
        <v>9054.1906265269954</v>
      </c>
    </row>
    <row r="9" spans="1:8" x14ac:dyDescent="0.2">
      <c r="A9" s="222"/>
      <c r="B9" s="37" t="s">
        <v>117</v>
      </c>
      <c r="C9" s="205">
        <f>IF(ISBLANK('Electric old'!G9),"-",'Electric old'!G9)</f>
        <v>1390.9624819599999</v>
      </c>
      <c r="D9" s="205">
        <f>IF(ISBLANK(4/24*('Gas Old'!$H$6+'Gas Old'!$H$15)),"-",4/24*('Gas Old'!$H$6+'Gas Old'!$H$15))</f>
        <v>289.83395999999999</v>
      </c>
      <c r="E9" s="205">
        <f>IF(ISBLANK('Water Old'!G9),"-",'Water Old'!G9)</f>
        <v>197.52580068139198</v>
      </c>
      <c r="F9" s="205">
        <f t="shared" si="0"/>
        <v>1878.3222426413918</v>
      </c>
      <c r="G9" s="207">
        <f t="shared" si="1"/>
        <v>10932.512869168388</v>
      </c>
    </row>
    <row r="10" spans="1:8" x14ac:dyDescent="0.2">
      <c r="A10" s="222"/>
      <c r="B10" s="37" t="s">
        <v>118</v>
      </c>
      <c r="C10" s="205">
        <f>IF(ISBLANK('Electric old'!G10),"-",'Electric old'!G10)</f>
        <v>1826.4164774000001</v>
      </c>
      <c r="D10" s="205">
        <f>IF(ISBLANK(4/24*('Gas Old'!$H$7+'Gas Old'!$H$16)),"-",4/24*('Gas Old'!$H$7+'Gas Old'!$H$16))</f>
        <v>298.93976666666663</v>
      </c>
      <c r="E10" s="205">
        <f>IF(ISBLANK('Water Old'!G10),"-",'Water Old'!G10)</f>
        <v>30.46470789656</v>
      </c>
      <c r="F10" s="205">
        <f t="shared" si="0"/>
        <v>2155.8209519632264</v>
      </c>
      <c r="G10" s="207">
        <f t="shared" si="1"/>
        <v>13088.333821131615</v>
      </c>
    </row>
    <row r="11" spans="1:8" x14ac:dyDescent="0.2">
      <c r="A11" s="222"/>
      <c r="B11" s="37" t="s">
        <v>119</v>
      </c>
      <c r="C11" s="205">
        <f>IF(ISBLANK('Electric old'!G11),"-",'Electric old'!G11)</f>
        <v>2230.88184</v>
      </c>
      <c r="D11" s="205">
        <f>IF(ISBLANK(4/24*('Gas Old'!$H$8+'Gas Old'!$H$17)),"-",4/24*('Gas Old'!$H$8+'Gas Old'!$H$17))</f>
        <v>368.87085833333327</v>
      </c>
      <c r="E11" s="205">
        <f>IF(ISBLANK('Water Old'!G11),"-",'Water Old'!G11)</f>
        <v>64.455778963904905</v>
      </c>
      <c r="F11" s="205">
        <f t="shared" si="0"/>
        <v>2664.208477297238</v>
      </c>
      <c r="G11" s="207">
        <f t="shared" si="1"/>
        <v>15752.542298428853</v>
      </c>
      <c r="H11" s="208"/>
    </row>
    <row r="12" spans="1:8" x14ac:dyDescent="0.2">
      <c r="A12" s="222"/>
      <c r="B12" s="37" t="s">
        <v>120</v>
      </c>
      <c r="C12" s="205">
        <f>IF(ISBLANK('Electric old'!G12),"-",'Electric old'!G12)</f>
        <v>2453.9424000000004</v>
      </c>
      <c r="D12" s="205">
        <f>IF(ISBLANK(4/24*('Gas Old'!$H$9+'Gas Old'!$H$18)),"-",4/24*('Gas Old'!$H$9+'Gas Old'!$H$18))</f>
        <v>528.28620000000001</v>
      </c>
      <c r="E12" s="205">
        <f>IF(ISBLANK('Water Old'!G12),"-",'Water Old'!G12)</f>
        <v>108.95134208323752</v>
      </c>
      <c r="F12" s="205">
        <f t="shared" si="0"/>
        <v>3091.1799420832381</v>
      </c>
      <c r="G12" s="207">
        <f t="shared" si="1"/>
        <v>18843.722240512092</v>
      </c>
    </row>
    <row r="13" spans="1:8" x14ac:dyDescent="0.2">
      <c r="A13" s="222"/>
      <c r="B13" s="37" t="s">
        <v>121</v>
      </c>
      <c r="C13" s="205">
        <f>IF(ISBLANK('Electric old'!G13),"-",'Electric old'!G13)</f>
        <v>3292.6608000000001</v>
      </c>
      <c r="D13" s="205">
        <f>IF(ISBLANK(4/24*('Gas Old'!$H$10+'Gas Old'!$H$19)),"-",4/24*('Gas Old'!$H$10+'Gas Old'!$H$19))</f>
        <v>790.95849999999984</v>
      </c>
      <c r="E13" s="205">
        <f>IF(ISBLANK('Water Old'!G13),"-",'Water Old'!G13)</f>
        <v>158.80947540000003</v>
      </c>
      <c r="F13" s="205">
        <f t="shared" si="0"/>
        <v>4242.4287753999997</v>
      </c>
      <c r="G13" s="207">
        <f t="shared" si="1"/>
        <v>23086.151015912092</v>
      </c>
    </row>
    <row r="14" spans="1:8" x14ac:dyDescent="0.2">
      <c r="A14" s="222"/>
      <c r="B14" s="37" t="s">
        <v>122</v>
      </c>
      <c r="C14" s="205">
        <f>IF(ISBLANK('Electric old'!G14),"-",'Electric old'!G14)</f>
        <v>1161.6144000000002</v>
      </c>
      <c r="D14" s="205">
        <f>IF(ISBLANK(4/24*('Gas Old'!$H$11+'Gas Old'!$H$20)),"-",4/24*('Gas Old'!$H$11+'Gas Old'!$H$20))</f>
        <v>758.02788333333319</v>
      </c>
      <c r="E14" s="205">
        <f>IF(ISBLANK('Water Old'!G14),"-",'Water Old'!G14)</f>
        <v>61.984650000000002</v>
      </c>
      <c r="F14" s="205">
        <f t="shared" si="0"/>
        <v>1981.6269333333335</v>
      </c>
      <c r="G14" s="207">
        <f t="shared" si="1"/>
        <v>25067.777949245425</v>
      </c>
    </row>
    <row r="15" spans="1:8" x14ac:dyDescent="0.2">
      <c r="A15" s="222"/>
      <c r="B15" s="37" t="s">
        <v>123</v>
      </c>
      <c r="C15" s="205">
        <f>IF(ISBLANK('Electric old'!G15),"-",'Electric old'!G15)</f>
        <v>1344.3788420679887</v>
      </c>
      <c r="D15" s="205">
        <f>IF(ISBLANK(4/24*('Gas Old'!$H$12+'Gas Old'!$H$21)),"-",4/24*('Gas Old'!$H$12+'Gas Old'!$H$21))</f>
        <v>939.42190636492762</v>
      </c>
      <c r="E15" s="205">
        <f>IF(ISBLANK('Water Old'!G15),"-",'Water Old'!G15)</f>
        <v>43.28121010499526</v>
      </c>
      <c r="F15" s="205">
        <f t="shared" si="0"/>
        <v>2327.0819585379118</v>
      </c>
      <c r="G15" s="207">
        <f t="shared" si="1"/>
        <v>27394.859907783335</v>
      </c>
    </row>
    <row r="16" spans="1:8" x14ac:dyDescent="0.2">
      <c r="A16" s="221" t="s">
        <v>104</v>
      </c>
      <c r="B16" s="39" t="str">
        <f t="shared" ref="B16:B47" si="2">B4</f>
        <v>January</v>
      </c>
      <c r="C16" s="205">
        <f>IF(ISBLANK('Electric old'!G16),"-",'Electric old'!G16)</f>
        <v>754.12265521752818</v>
      </c>
      <c r="D16" s="206" t="s">
        <v>112</v>
      </c>
      <c r="E16" s="205" t="str">
        <f>IF(ISBLANK('Water Old'!G16),"-",'Water Old'!G16)</f>
        <v>-</v>
      </c>
      <c r="F16" s="206" t="s">
        <v>112</v>
      </c>
      <c r="G16" s="206" t="s">
        <v>112</v>
      </c>
    </row>
    <row r="17" spans="1:9" x14ac:dyDescent="0.2">
      <c r="A17" s="222"/>
      <c r="B17" s="39" t="str">
        <f t="shared" si="2"/>
        <v>February</v>
      </c>
      <c r="C17" s="205">
        <f>IF(ISBLANK('Electric old'!G17),"-",'Electric old'!G17)</f>
        <v>1140.2634122399918</v>
      </c>
      <c r="D17" s="206" t="s">
        <v>112</v>
      </c>
      <c r="E17" s="205" t="str">
        <f>IF(ISBLANK('Water Old'!G17),"-",'Water Old'!G17)</f>
        <v>-</v>
      </c>
      <c r="F17" s="206" t="s">
        <v>112</v>
      </c>
      <c r="G17" s="206" t="s">
        <v>112</v>
      </c>
    </row>
    <row r="18" spans="1:9" x14ac:dyDescent="0.2">
      <c r="A18" s="222"/>
      <c r="B18" s="39" t="str">
        <f t="shared" si="2"/>
        <v>March</v>
      </c>
      <c r="C18" s="205">
        <f>IF(ISBLANK('Electric old'!G18),"-",'Electric old'!G18)</f>
        <v>836.36503999999991</v>
      </c>
      <c r="D18" s="206" t="s">
        <v>112</v>
      </c>
      <c r="E18" s="205" t="str">
        <f>IF(ISBLANK('Water Old'!G18),"-",'Water Old'!G18)</f>
        <v>-</v>
      </c>
      <c r="F18" s="205">
        <f t="shared" ref="F18:F27" si="3">SUM(C18:E18)</f>
        <v>836.36503999999991</v>
      </c>
      <c r="G18" s="207">
        <f>F18</f>
        <v>836.36503999999991</v>
      </c>
    </row>
    <row r="19" spans="1:9" x14ac:dyDescent="0.2">
      <c r="A19" s="222"/>
      <c r="B19" s="39" t="str">
        <f t="shared" si="2"/>
        <v>April</v>
      </c>
      <c r="C19" s="205">
        <f>IF(ISBLANK('Electric old'!G19),"-",'Electric old'!G19)</f>
        <v>1097.55072</v>
      </c>
      <c r="D19" s="205">
        <f>IF(ISBLANK(4/24*('Gas Old'!$H$4+'Gas Old'!$H$13)),"-",4/24*('Gas Old'!$H$4+'Gas Old'!$H$13))</f>
        <v>945.80903999999987</v>
      </c>
      <c r="E19" s="205">
        <f>IF(ISBLANK('Water Old'!G19),"-",'Water Old'!G19)</f>
        <v>144.31084074099999</v>
      </c>
      <c r="F19" s="205">
        <f t="shared" si="3"/>
        <v>2187.6706007409998</v>
      </c>
      <c r="G19" s="207">
        <f t="shared" ref="G19:G27" si="4">F19+G18</f>
        <v>3024.035640741</v>
      </c>
    </row>
    <row r="20" spans="1:9" x14ac:dyDescent="0.2">
      <c r="A20" s="222"/>
      <c r="B20" s="39" t="str">
        <f t="shared" si="2"/>
        <v>May</v>
      </c>
      <c r="C20" s="205">
        <f>IF(ISBLANK('Electric old'!G20),"-",'Electric old'!G20)</f>
        <v>826.39872000000003</v>
      </c>
      <c r="D20" s="205">
        <f>IF(ISBLANK(4/24*('Gas Old'!$H$5+'Gas Old'!$H$14)),"-",4/24*('Gas Old'!$H$5+'Gas Old'!$H$14))</f>
        <v>616.46603999999991</v>
      </c>
      <c r="E20" s="205">
        <f>IF(ISBLANK('Water Old'!G20),"-",'Water Old'!G20)</f>
        <v>94.911260555382384</v>
      </c>
      <c r="F20" s="205">
        <f t="shared" si="3"/>
        <v>1537.7760205553823</v>
      </c>
      <c r="G20" s="207">
        <f t="shared" si="4"/>
        <v>4561.8116612963822</v>
      </c>
    </row>
    <row r="21" spans="1:9" x14ac:dyDescent="0.2">
      <c r="A21" s="222"/>
      <c r="B21" s="39" t="str">
        <f t="shared" si="2"/>
        <v>June</v>
      </c>
      <c r="C21" s="205">
        <f>IF(ISBLANK('Electric old'!G21),"-",'Electric old'!G21)</f>
        <v>810.62868312000001</v>
      </c>
      <c r="D21" s="205">
        <f>IF(ISBLANK(4/24*('Gas Old'!$H$6+'Gas Old'!$H$15)),"-",4/24*('Gas Old'!$H$6+'Gas Old'!$H$15))</f>
        <v>289.83395999999999</v>
      </c>
      <c r="E21" s="205">
        <f>IF(ISBLANK('Water Old'!G21),"-",'Water Old'!G21)</f>
        <v>8.5494837229055989</v>
      </c>
      <c r="F21" s="205">
        <f t="shared" si="3"/>
        <v>1109.0121268429054</v>
      </c>
      <c r="G21" s="207">
        <f t="shared" si="4"/>
        <v>5670.8237881392879</v>
      </c>
    </row>
    <row r="22" spans="1:9" x14ac:dyDescent="0.2">
      <c r="A22" s="222"/>
      <c r="B22" s="39" t="str">
        <f t="shared" si="2"/>
        <v>July</v>
      </c>
      <c r="C22" s="205">
        <f>IF(ISBLANK('Electric old'!G22),"-",'Electric old'!G22)</f>
        <v>1084.3293237600001</v>
      </c>
      <c r="D22" s="205">
        <f>IF(ISBLANK(4/24*('Gas Old'!$H$7+'Gas Old'!$H$16)),"-",4/24*('Gas Old'!$H$7+'Gas Old'!$H$16))</f>
        <v>298.93976666666663</v>
      </c>
      <c r="E22" s="205">
        <f>IF(ISBLANK('Water Old'!G22),"-",'Water Old'!G22)</f>
        <v>14.385112296320001</v>
      </c>
      <c r="F22" s="205">
        <f t="shared" si="3"/>
        <v>1397.6542027229866</v>
      </c>
      <c r="G22" s="207">
        <f t="shared" si="4"/>
        <v>7068.477990862275</v>
      </c>
    </row>
    <row r="23" spans="1:9" x14ac:dyDescent="0.2">
      <c r="A23" s="222"/>
      <c r="B23" s="39" t="str">
        <f t="shared" si="2"/>
        <v>August</v>
      </c>
      <c r="C23" s="205">
        <f>IF(ISBLANK('Electric old'!G23),"-",'Electric old'!G23)</f>
        <v>1120.7235599999999</v>
      </c>
      <c r="D23" s="205">
        <f>IF(ISBLANK(4/24*('Gas Old'!$H$8+'Gas Old'!$H$17)),"-",4/24*('Gas Old'!$H$8+'Gas Old'!$H$17))</f>
        <v>368.87085833333327</v>
      </c>
      <c r="E23" s="205">
        <f>IF(ISBLANK('Water Old'!G23),"-",'Water Old'!G23)</f>
        <v>60.015679395010295</v>
      </c>
      <c r="F23" s="205">
        <f t="shared" si="3"/>
        <v>1549.6100977283434</v>
      </c>
      <c r="G23" s="207">
        <f t="shared" si="4"/>
        <v>8618.088088590619</v>
      </c>
      <c r="I23" t="s">
        <v>16</v>
      </c>
    </row>
    <row r="24" spans="1:9" x14ac:dyDescent="0.2">
      <c r="A24" s="222"/>
      <c r="B24" s="39" t="str">
        <f t="shared" si="2"/>
        <v>September</v>
      </c>
      <c r="C24" s="205">
        <f>IF(ISBLANK('Electric old'!G24),"-",'Electric old'!G24)</f>
        <v>1050.4176</v>
      </c>
      <c r="D24" s="205">
        <f>IF(ISBLANK(4/24*('Gas Old'!$H9+'Gas Old'!$H18)),"-",4/24*('Gas Old'!$H9+'Gas Old'!$H18))</f>
        <v>528.28620000000001</v>
      </c>
      <c r="E24" s="205">
        <f>IF(ISBLANK('Water Old'!G24),"-",'Water Old'!G24)</f>
        <v>115.89822913073873</v>
      </c>
      <c r="F24" s="205">
        <f t="shared" si="3"/>
        <v>1694.6020291307386</v>
      </c>
      <c r="G24" s="207">
        <f t="shared" si="4"/>
        <v>10312.690117721359</v>
      </c>
    </row>
    <row r="25" spans="1:9" x14ac:dyDescent="0.2">
      <c r="A25" s="222"/>
      <c r="B25" s="39" t="str">
        <f t="shared" si="2"/>
        <v>October</v>
      </c>
      <c r="C25" s="205">
        <f>IF(ISBLANK('Electric old'!G25),"-",'Electric old'!G25)</f>
        <v>1410.4376</v>
      </c>
      <c r="D25" s="205">
        <f>IF(ISBLANK(4/24*('Gas Old'!$H10+'Gas Old'!$H19)),"-",4/24*('Gas Old'!$H10+'Gas Old'!$H19))</f>
        <v>790.95849999999984</v>
      </c>
      <c r="E25" s="205" t="str">
        <f>IF(ISBLANK('Water Old'!G25),"-",'Water Old'!G25)</f>
        <v>not read</v>
      </c>
      <c r="F25" s="205">
        <f t="shared" si="3"/>
        <v>2201.3960999999999</v>
      </c>
      <c r="G25" s="207">
        <f t="shared" si="4"/>
        <v>12514.086217721358</v>
      </c>
    </row>
    <row r="26" spans="1:9" x14ac:dyDescent="0.2">
      <c r="A26" s="222"/>
      <c r="B26" s="39" t="str">
        <f t="shared" si="2"/>
        <v>November</v>
      </c>
      <c r="C26" s="205">
        <f>IF(ISBLANK('Electric old'!G26),"-",'Electric old'!G26)</f>
        <v>558.57150000000001</v>
      </c>
      <c r="D26" s="205">
        <f>IF(ISBLANK(4/24*('Gas Old'!$H11+'Gas Old'!$H20)),"-",4/24*('Gas Old'!$H11+'Gas Old'!$H20))</f>
        <v>758.02788333333319</v>
      </c>
      <c r="E26" s="205" t="str">
        <f>IF(ISBLANK('Water Old'!G26),"-",'Water Old'!G26)</f>
        <v>not read</v>
      </c>
      <c r="F26" s="205">
        <f t="shared" si="3"/>
        <v>1316.5993833333332</v>
      </c>
      <c r="G26" s="207">
        <f t="shared" si="4"/>
        <v>13830.685601054691</v>
      </c>
    </row>
    <row r="27" spans="1:9" x14ac:dyDescent="0.2">
      <c r="A27" s="222"/>
      <c r="B27" s="39" t="str">
        <f t="shared" si="2"/>
        <v>December</v>
      </c>
      <c r="C27" s="205">
        <f>IF(ISBLANK('Electric old'!G27),"-",'Electric old'!G27)</f>
        <v>774.51461225212461</v>
      </c>
      <c r="D27" s="205">
        <f>IF(ISBLANK(4/24*('Gas Old'!$H$12+'Gas Old'!$H$21)),"-",4/24*('Gas Old'!$H$12+'Gas Old'!$H$21))</f>
        <v>939.42190636492762</v>
      </c>
      <c r="E27" s="205">
        <f>IF(ISBLANK('Water Old'!G27),"-",'Water Old'!G27)</f>
        <v>515.13438383065022</v>
      </c>
      <c r="F27" s="205">
        <f t="shared" si="3"/>
        <v>2229.0709024477023</v>
      </c>
      <c r="G27" s="207">
        <f t="shared" si="4"/>
        <v>16059.756503502393</v>
      </c>
    </row>
    <row r="28" spans="1:9" x14ac:dyDescent="0.2">
      <c r="A28" s="221" t="s">
        <v>12</v>
      </c>
      <c r="B28" s="39" t="str">
        <f t="shared" si="2"/>
        <v>January</v>
      </c>
      <c r="C28" s="205">
        <f>IF(ISBLANK('Electric old'!G28),"-",'Electric old'!G28)</f>
        <v>306.96237831840091</v>
      </c>
      <c r="D28" s="206" t="s">
        <v>112</v>
      </c>
      <c r="E28" s="205" t="str">
        <f>IF(ISBLANK('Water Old'!G28),"-",'Water Old'!G28)</f>
        <v>-</v>
      </c>
      <c r="F28" s="206" t="s">
        <v>112</v>
      </c>
      <c r="G28" s="206" t="s">
        <v>112</v>
      </c>
    </row>
    <row r="29" spans="1:9" x14ac:dyDescent="0.2">
      <c r="A29" s="222"/>
      <c r="B29" s="39" t="str">
        <f t="shared" si="2"/>
        <v>February</v>
      </c>
      <c r="C29" s="205">
        <f>IF(ISBLANK('Electric old'!G29),"-",'Electric old'!G29)</f>
        <v>588.64435411171576</v>
      </c>
      <c r="D29" s="206" t="s">
        <v>112</v>
      </c>
      <c r="E29" s="205" t="str">
        <f>IF(ISBLANK('Water Old'!G29),"-",'Water Old'!G29)</f>
        <v>-</v>
      </c>
      <c r="F29" s="206" t="s">
        <v>112</v>
      </c>
      <c r="G29" s="206" t="s">
        <v>112</v>
      </c>
    </row>
    <row r="30" spans="1:9" x14ac:dyDescent="0.2">
      <c r="A30" s="222"/>
      <c r="B30" s="39" t="str">
        <f t="shared" si="2"/>
        <v>March</v>
      </c>
      <c r="C30" s="205">
        <f>IF(ISBLANK('Electric old'!G30),"-",'Electric old'!G30)</f>
        <v>430.1472</v>
      </c>
      <c r="D30" s="206" t="s">
        <v>112</v>
      </c>
      <c r="E30" s="205" t="str">
        <f>IF(ISBLANK('Water Old'!G30),"-",'Water Old'!G30)</f>
        <v>-</v>
      </c>
      <c r="F30" s="205">
        <f t="shared" ref="F30:F39" si="5">SUM(C30:E30)</f>
        <v>430.1472</v>
      </c>
      <c r="G30" s="207">
        <f>F30</f>
        <v>430.1472</v>
      </c>
    </row>
    <row r="31" spans="1:9" x14ac:dyDescent="0.2">
      <c r="A31" s="222"/>
      <c r="B31" s="39" t="str">
        <f t="shared" si="2"/>
        <v>April</v>
      </c>
      <c r="C31" s="205">
        <f>IF(ISBLANK('Electric old'!G31),"-",'Electric old'!G31)</f>
        <v>493.73352</v>
      </c>
      <c r="D31" s="205">
        <f>IF(ISBLANK(2/24*('Gas Old'!$H$4+'Gas Old'!$H$13)),"-",2/24*('Gas Old'!$H$4+'Gas Old'!$H$13))</f>
        <v>472.90451999999993</v>
      </c>
      <c r="E31" s="205">
        <f>IF(ISBLANK('Water Old'!G31),"-",'Water Old'!G31)</f>
        <v>64.876291383000009</v>
      </c>
      <c r="F31" s="205">
        <f t="shared" si="5"/>
        <v>1031.5143313829999</v>
      </c>
      <c r="G31" s="207">
        <f t="shared" ref="G31:G39" si="6">F31+G30</f>
        <v>1461.6615313829998</v>
      </c>
    </row>
    <row r="32" spans="1:9" x14ac:dyDescent="0.2">
      <c r="A32" s="222"/>
      <c r="B32" s="39" t="str">
        <f t="shared" si="2"/>
        <v>May</v>
      </c>
      <c r="C32" s="205">
        <f>IF(ISBLANK('Electric old'!G32),"-",'Electric old'!G32)</f>
        <v>414.28800000000001</v>
      </c>
      <c r="D32" s="205">
        <f>IF(ISBLANK(2/24*('Gas Old'!$H$5+'Gas Old'!$H$14)),"-",2/24*('Gas Old'!$H$5+'Gas Old'!$H$14))</f>
        <v>308.23301999999995</v>
      </c>
      <c r="E32" s="205">
        <f>IF(ISBLANK('Water Old'!G32),"-",'Water Old'!G32)</f>
        <v>43.246468879383798</v>
      </c>
      <c r="F32" s="205">
        <f t="shared" si="5"/>
        <v>765.76748887938368</v>
      </c>
      <c r="G32" s="207">
        <f t="shared" si="6"/>
        <v>2227.4290202623833</v>
      </c>
    </row>
    <row r="33" spans="1:7" x14ac:dyDescent="0.2">
      <c r="A33" s="222"/>
      <c r="B33" s="39" t="str">
        <f t="shared" si="2"/>
        <v>June</v>
      </c>
      <c r="C33" s="205">
        <f>IF(ISBLANK('Electric old'!G33),"-",'Electric old'!G33)</f>
        <v>146.0434966</v>
      </c>
      <c r="D33" s="205">
        <f>IF(ISBLANK(2/24*('Gas Old'!$H$6+'Gas Old'!$H$15)),"-",2/24*('Gas Old'!$H$6+'Gas Old'!$H$15))</f>
        <v>144.91698</v>
      </c>
      <c r="E33" s="205">
        <f>IF(ISBLANK('Water Old'!G33),"-",'Water Old'!G33)</f>
        <v>0.41415181991039995</v>
      </c>
      <c r="F33" s="205">
        <f t="shared" si="5"/>
        <v>291.37462841991038</v>
      </c>
      <c r="G33" s="207">
        <f t="shared" si="6"/>
        <v>2518.8036486822939</v>
      </c>
    </row>
    <row r="34" spans="1:7" x14ac:dyDescent="0.2">
      <c r="A34" s="222"/>
      <c r="B34" s="39" t="str">
        <f t="shared" si="2"/>
        <v>July</v>
      </c>
      <c r="C34" s="205">
        <f>IF(ISBLANK('Electric old'!G34),"-",'Electric old'!G34)</f>
        <v>310.93882303999999</v>
      </c>
      <c r="D34" s="205">
        <f>IF(ISBLANK(2/24*('Gas Old'!$H$7+'Gas Old'!$H$16)),"-",2/24*('Gas Old'!$H$7+'Gas Old'!$H$16))</f>
        <v>149.46988333333331</v>
      </c>
      <c r="E34" s="205">
        <f>IF(ISBLANK('Water Old'!G34),"-",'Water Old'!G34)</f>
        <v>0.35415708815999997</v>
      </c>
      <c r="F34" s="205">
        <f t="shared" si="5"/>
        <v>460.76286346149328</v>
      </c>
      <c r="G34" s="207">
        <f t="shared" si="6"/>
        <v>2979.5665121437873</v>
      </c>
    </row>
    <row r="35" spans="1:7" x14ac:dyDescent="0.2">
      <c r="A35" s="222"/>
      <c r="B35" s="39" t="str">
        <f t="shared" si="2"/>
        <v>August</v>
      </c>
      <c r="C35" s="205">
        <f>IF(ISBLANK('Electric old'!G35),"-",'Electric old'!G35)</f>
        <v>430.42032</v>
      </c>
      <c r="D35" s="205">
        <f>IF(ISBLANK(2/24*('Gas Old'!$H$8+'Gas Old'!$H$17)),"-",2/24*('Gas Old'!$H$8+'Gas Old'!$H$17))</f>
        <v>184.43542916666664</v>
      </c>
      <c r="E35" s="205">
        <f>IF(ISBLANK('Water Old'!G35),"-",'Water Old'!G35)</f>
        <v>32.804702159366798</v>
      </c>
      <c r="F35" s="205">
        <f t="shared" si="5"/>
        <v>647.66045132603347</v>
      </c>
      <c r="G35" s="207">
        <f t="shared" si="6"/>
        <v>3627.2269634698209</v>
      </c>
    </row>
    <row r="36" spans="1:7" x14ac:dyDescent="0.2">
      <c r="A36" s="222"/>
      <c r="B36" s="39" t="str">
        <f t="shared" si="2"/>
        <v>September</v>
      </c>
      <c r="C36" s="205">
        <f>IF(ISBLANK('Electric old'!G36),"-",'Electric old'!G36)</f>
        <v>657.75120000000004</v>
      </c>
      <c r="D36" s="205">
        <f>IF(ISBLANK(2/24*('Gas Old'!$H9+'Gas Old'!$H18)),"-",2/24*('Gas Old'!$H9+'Gas Old'!$H18))</f>
        <v>264.1431</v>
      </c>
      <c r="E36" s="205">
        <f>IF(ISBLANK('Water Old'!G36),"-",'Water Old'!G36)</f>
        <v>92.684973928961398</v>
      </c>
      <c r="F36" s="205">
        <f t="shared" si="5"/>
        <v>1014.5792739289615</v>
      </c>
      <c r="G36" s="207">
        <f t="shared" si="6"/>
        <v>4641.8062373987823</v>
      </c>
    </row>
    <row r="37" spans="1:7" x14ac:dyDescent="0.2">
      <c r="A37" s="222"/>
      <c r="B37" s="39" t="str">
        <f t="shared" si="2"/>
        <v>October</v>
      </c>
      <c r="C37" s="205">
        <f>IF(ISBLANK('Electric old'!G37),"-",'Electric old'!G37)</f>
        <v>873.78719999999998</v>
      </c>
      <c r="D37" s="205">
        <f>IF(ISBLANK(2/24*('Gas Old'!$H10+'Gas Old'!$H19)),"-",2/24*('Gas Old'!$H10+'Gas Old'!$H19))</f>
        <v>395.47924999999992</v>
      </c>
      <c r="E37" s="205">
        <f>IF(ISBLANK('Water Old'!G37),"-",'Water Old'!G37)</f>
        <v>128.22038620000001</v>
      </c>
      <c r="F37" s="205">
        <f t="shared" si="5"/>
        <v>1397.4868361999997</v>
      </c>
      <c r="G37" s="207">
        <f t="shared" si="6"/>
        <v>6039.293073598782</v>
      </c>
    </row>
    <row r="38" spans="1:7" x14ac:dyDescent="0.2">
      <c r="A38" s="222"/>
      <c r="B38" s="39" t="str">
        <f t="shared" si="2"/>
        <v>November</v>
      </c>
      <c r="C38" s="205">
        <f>IF(ISBLANK('Electric old'!G38),"-",'Electric old'!G38)</f>
        <v>329.33840000000004</v>
      </c>
      <c r="D38" s="205">
        <f>IF(ISBLANK(2/24*('Gas Old'!$H11+'Gas Old'!$H20)),"-",2/24*('Gas Old'!$H11+'Gas Old'!$H20))</f>
        <v>379.0139416666666</v>
      </c>
      <c r="E38" s="205">
        <f>IF(ISBLANK('Water Old'!G38),"-",'Water Old'!G38)</f>
        <v>60.299699999999994</v>
      </c>
      <c r="F38" s="205">
        <f t="shared" si="5"/>
        <v>768.65204166666672</v>
      </c>
      <c r="G38" s="207">
        <f t="shared" si="6"/>
        <v>6807.9451152654492</v>
      </c>
    </row>
    <row r="39" spans="1:7" x14ac:dyDescent="0.2">
      <c r="A39" s="222"/>
      <c r="B39" s="39" t="str">
        <f t="shared" si="2"/>
        <v>December</v>
      </c>
      <c r="C39" s="205">
        <f>IF(ISBLANK('Electric old'!G39),"-",'Electric old'!G39)</f>
        <v>274.8628806657224</v>
      </c>
      <c r="D39" s="205">
        <f>IF(ISBLANK(2/24*('Gas Old'!$H12+'Gas Old'!$H21)),"-",2/24*('Gas Old'!$H12+'Gas Old'!$H21))</f>
        <v>469.71095318246381</v>
      </c>
      <c r="E39" s="205">
        <f>IF(ISBLANK('Water Old'!G39),"-",'Water Old'!G39)</f>
        <v>36.524129432230097</v>
      </c>
      <c r="F39" s="205">
        <f t="shared" si="5"/>
        <v>781.09796328041637</v>
      </c>
      <c r="G39" s="207">
        <f t="shared" si="6"/>
        <v>7589.0430785458657</v>
      </c>
    </row>
    <row r="40" spans="1:7" x14ac:dyDescent="0.2">
      <c r="A40" s="221" t="s">
        <v>13</v>
      </c>
      <c r="B40" s="39" t="str">
        <f t="shared" si="2"/>
        <v>January</v>
      </c>
      <c r="C40" s="205">
        <f>IF(ISBLANK('Electric old'!G40),"-",'Electric old'!G40)</f>
        <v>77.332424357849064</v>
      </c>
      <c r="D40" s="206" t="s">
        <v>112</v>
      </c>
      <c r="E40" s="205" t="str">
        <f>IF(ISBLANK('Water Old'!G40),"-",'Water Old'!G40)</f>
        <v>-</v>
      </c>
      <c r="F40" s="206" t="s">
        <v>112</v>
      </c>
      <c r="G40" s="206" t="s">
        <v>112</v>
      </c>
    </row>
    <row r="41" spans="1:7" x14ac:dyDescent="0.2">
      <c r="A41" s="222"/>
      <c r="B41" s="39" t="str">
        <f t="shared" si="2"/>
        <v>February</v>
      </c>
      <c r="C41" s="205">
        <f>IF(ISBLANK('Electric old'!G41),"-",'Electric old'!G41)</f>
        <v>153.78996638954735</v>
      </c>
      <c r="D41" s="206" t="s">
        <v>112</v>
      </c>
      <c r="E41" s="205" t="str">
        <f>IF(ISBLANK('Water Old'!G41),"-",'Water Old'!G41)</f>
        <v>-</v>
      </c>
      <c r="F41" s="206" t="s">
        <v>112</v>
      </c>
      <c r="G41" s="206" t="s">
        <v>112</v>
      </c>
    </row>
    <row r="42" spans="1:7" x14ac:dyDescent="0.2">
      <c r="A42" s="222"/>
      <c r="B42" s="39" t="str">
        <f t="shared" si="2"/>
        <v>March</v>
      </c>
      <c r="C42" s="205">
        <f>IF(ISBLANK('Electric old'!G42),"-",'Electric old'!G42)</f>
        <v>93.489199999999997</v>
      </c>
      <c r="D42" s="206" t="s">
        <v>112</v>
      </c>
      <c r="E42" s="205" t="str">
        <f>IF(ISBLANK('Water Old'!G42),"-",'Water Old'!G42)</f>
        <v>-</v>
      </c>
      <c r="F42" s="205">
        <f t="shared" ref="F42:F51" si="7">SUM(C42:E42)</f>
        <v>93.489199999999997</v>
      </c>
      <c r="G42" s="207">
        <f>F42</f>
        <v>93.489199999999997</v>
      </c>
    </row>
    <row r="43" spans="1:7" x14ac:dyDescent="0.2">
      <c r="A43" s="222"/>
      <c r="B43" s="39" t="str">
        <f t="shared" si="2"/>
        <v>April</v>
      </c>
      <c r="C43" s="205">
        <f>IF(ISBLANK('Electric old'!G43),"-",'Electric old'!G43)</f>
        <v>114.49935000000001</v>
      </c>
      <c r="D43" s="205">
        <f>IF(ISBLANK(2/24*('Gas Old'!$H$4+'Gas Old'!$H$13)),"-",2/24*('Gas Old'!$H$4+'Gas Old'!$H$13))</f>
        <v>472.90451999999993</v>
      </c>
      <c r="E43" s="205">
        <f>IF(ISBLANK('Water Old'!G43),"-",'Water Old'!G43)</f>
        <v>80.424657583000013</v>
      </c>
      <c r="F43" s="205">
        <f t="shared" si="7"/>
        <v>667.82852758299998</v>
      </c>
      <c r="G43" s="207">
        <f t="shared" ref="G43:G51" si="8">F43+G42</f>
        <v>761.31772758299996</v>
      </c>
    </row>
    <row r="44" spans="1:7" x14ac:dyDescent="0.2">
      <c r="A44" s="222"/>
      <c r="B44" s="39" t="str">
        <f t="shared" si="2"/>
        <v>May</v>
      </c>
      <c r="C44" s="205">
        <f>IF(ISBLANK('Electric old'!G44),"-",'Electric old'!G44)</f>
        <v>102.69503999999999</v>
      </c>
      <c r="D44" s="205">
        <f>IF(ISBLANK(2/24*('Gas Old'!$H$5+'Gas Old'!$H$14)),"-",2/24*('Gas Old'!$H$5+'Gas Old'!$H$14))</f>
        <v>308.23301999999995</v>
      </c>
      <c r="E44" s="205">
        <f>IF(ISBLANK('Water Old'!G44),"-",'Water Old'!G44)</f>
        <v>87.469673442245792</v>
      </c>
      <c r="F44" s="205">
        <f t="shared" si="7"/>
        <v>498.39773344224574</v>
      </c>
      <c r="G44" s="207">
        <f t="shared" si="8"/>
        <v>1259.7154610252458</v>
      </c>
    </row>
    <row r="45" spans="1:7" x14ac:dyDescent="0.2">
      <c r="A45" s="222"/>
      <c r="B45" s="39" t="str">
        <f t="shared" si="2"/>
        <v>June</v>
      </c>
      <c r="C45" s="205">
        <f>IF(ISBLANK('Electric old'!G45),"-",'Electric old'!G45)</f>
        <v>33.7471028</v>
      </c>
      <c r="D45" s="205">
        <f>IF(ISBLANK(2/24*('Gas Old'!$H$6+'Gas Old'!$H$15)),"-",2/24*('Gas Old'!$H$6+'Gas Old'!$H$15))</f>
        <v>144.91698</v>
      </c>
      <c r="E45" s="205">
        <f>IF(ISBLANK('Water Old'!G45),"-",'Water Old'!G45)</f>
        <v>0.53434273268159993</v>
      </c>
      <c r="F45" s="205">
        <f t="shared" si="7"/>
        <v>179.1984255326816</v>
      </c>
      <c r="G45" s="207">
        <f t="shared" si="8"/>
        <v>1438.9138865579273</v>
      </c>
    </row>
    <row r="46" spans="1:7" x14ac:dyDescent="0.2">
      <c r="A46" s="222"/>
      <c r="B46" s="39" t="str">
        <f t="shared" si="2"/>
        <v>July</v>
      </c>
      <c r="C46" s="205">
        <f>IF(ISBLANK('Electric old'!G46),"-",'Electric old'!G46)</f>
        <v>123.93332579999999</v>
      </c>
      <c r="D46" s="205">
        <f>IF(ISBLANK(2/24*('Gas Old'!$H$7+'Gas Old'!$H$16)),"-",2/24*('Gas Old'!$H$7+'Gas Old'!$H$16))</f>
        <v>149.46988333333331</v>
      </c>
      <c r="E46" s="205">
        <f>IF(ISBLANK('Water Old'!G46),"-",'Water Old'!G46)</f>
        <v>1.10566115328</v>
      </c>
      <c r="F46" s="205">
        <f t="shared" si="7"/>
        <v>274.50887028661327</v>
      </c>
      <c r="G46" s="207">
        <f t="shared" si="8"/>
        <v>1713.4227568445406</v>
      </c>
    </row>
    <row r="47" spans="1:7" x14ac:dyDescent="0.2">
      <c r="A47" s="222"/>
      <c r="B47" s="39" t="str">
        <f t="shared" si="2"/>
        <v>August</v>
      </c>
      <c r="C47" s="205">
        <f>IF(ISBLANK('Electric old'!G47),"-",'Electric old'!G47)</f>
        <v>100.71468</v>
      </c>
      <c r="D47" s="205">
        <f>IF(ISBLANK(2/24*('Gas Old'!$H$8+'Gas Old'!$H$17)),"-",2/24*('Gas Old'!$H$8+'Gas Old'!$H$17))</f>
        <v>184.43542916666664</v>
      </c>
      <c r="E47" s="205">
        <f>IF(ISBLANK('Water Old'!G47),"-",'Water Old'!G47)</f>
        <v>25.802896722005002</v>
      </c>
      <c r="F47" s="205">
        <f t="shared" si="7"/>
        <v>310.95300588867167</v>
      </c>
      <c r="G47" s="207">
        <f t="shared" si="8"/>
        <v>2024.3757627332122</v>
      </c>
    </row>
    <row r="48" spans="1:7" x14ac:dyDescent="0.2">
      <c r="A48" s="222"/>
      <c r="B48" s="39" t="str">
        <f t="shared" ref="B48:B79" si="9">B36</f>
        <v>September</v>
      </c>
      <c r="C48" s="205">
        <f>IF(ISBLANK('Electric old'!G48),"-",'Electric old'!G48)</f>
        <v>116.64240000000001</v>
      </c>
      <c r="D48" s="205">
        <f>IF(ISBLANK(2/24*('Gas Old'!$H9+'Gas Old'!$H18)),"-",2/24*('Gas Old'!$H9+'Gas Old'!$H18))</f>
        <v>264.1431</v>
      </c>
      <c r="E48" s="205">
        <f>IF(ISBLANK('Water Old'!G48),"-",'Water Old'!G48)</f>
        <v>69.693882396599889</v>
      </c>
      <c r="F48" s="205">
        <f t="shared" si="7"/>
        <v>450.47938239659993</v>
      </c>
      <c r="G48" s="207">
        <f t="shared" si="8"/>
        <v>2474.8551451298122</v>
      </c>
    </row>
    <row r="49" spans="1:7" x14ac:dyDescent="0.2">
      <c r="A49" s="222"/>
      <c r="B49" s="39" t="str">
        <f t="shared" si="9"/>
        <v>October</v>
      </c>
      <c r="C49" s="205">
        <f>IF(ISBLANK('Electric old'!G49),"-",'Electric old'!G49)</f>
        <v>139.1104</v>
      </c>
      <c r="D49" s="205">
        <f>IF(ISBLANK(2/24*('Gas Old'!$H10+'Gas Old'!$H19)),"-",2/24*('Gas Old'!$H10+'Gas Old'!$H19))</f>
        <v>395.47924999999992</v>
      </c>
      <c r="E49" s="205">
        <f>IF(ISBLANK('Water Old'!G49),"-",'Water Old'!G49)</f>
        <v>114.3779006</v>
      </c>
      <c r="F49" s="205">
        <f t="shared" si="7"/>
        <v>648.96755059999987</v>
      </c>
      <c r="G49" s="207">
        <f t="shared" si="8"/>
        <v>3123.822695729812</v>
      </c>
    </row>
    <row r="50" spans="1:7" x14ac:dyDescent="0.2">
      <c r="A50" s="222"/>
      <c r="B50" s="39" t="str">
        <f t="shared" si="9"/>
        <v>November</v>
      </c>
      <c r="C50" s="205">
        <f>IF(ISBLANK('Electric old'!G50),"-",'Electric old'!G50)</f>
        <v>48.311300000000003</v>
      </c>
      <c r="D50" s="205">
        <f>IF(ISBLANK(2/24*('Gas Old'!$H11+'Gas Old'!$H20)),"-",2/24*('Gas Old'!$H11+'Gas Old'!$H20))</f>
        <v>379.0139416666666</v>
      </c>
      <c r="E50" s="205">
        <f>IF(ISBLANK('Water Old'!G50),"-",'Water Old'!G50)</f>
        <v>62.744669999999999</v>
      </c>
      <c r="F50" s="205">
        <f t="shared" si="7"/>
        <v>490.0699116666666</v>
      </c>
      <c r="G50" s="207">
        <f t="shared" si="8"/>
        <v>3613.8926073964785</v>
      </c>
    </row>
    <row r="51" spans="1:7" x14ac:dyDescent="0.2">
      <c r="A51" s="222"/>
      <c r="B51" s="39" t="str">
        <f t="shared" si="9"/>
        <v>December</v>
      </c>
      <c r="C51" s="205">
        <f>IF(ISBLANK('Electric old'!G51),"-",'Electric old'!G51)</f>
        <v>51.525450897072709</v>
      </c>
      <c r="D51" s="205">
        <f>IF(ISBLANK(2/24*('Gas Old'!$H12+'Gas Old'!$H21)),"-",2/24*('Gas Old'!$H12+'Gas Old'!$H21))</f>
        <v>469.71095318246381</v>
      </c>
      <c r="E51" s="205">
        <f>IF(ISBLANK('Water Old'!G51),"-",'Water Old'!G51)</f>
        <v>44.60023427432796</v>
      </c>
      <c r="F51" s="205">
        <f t="shared" si="7"/>
        <v>565.83663835386449</v>
      </c>
      <c r="G51" s="207">
        <f t="shared" si="8"/>
        <v>4179.7292457503427</v>
      </c>
    </row>
    <row r="52" spans="1:7" x14ac:dyDescent="0.2">
      <c r="A52" s="221" t="s">
        <v>14</v>
      </c>
      <c r="B52" s="39" t="str">
        <f t="shared" si="9"/>
        <v>January</v>
      </c>
      <c r="C52" s="205">
        <f>IF(ISBLANK('Electric old'!G52),"-",'Electric old'!G52)</f>
        <v>976.56297335342731</v>
      </c>
      <c r="D52" s="206" t="s">
        <v>112</v>
      </c>
      <c r="E52" s="205" t="str">
        <f>IF(ISBLANK('Water Old'!G52),"-",'Water Old'!G52)</f>
        <v>-</v>
      </c>
      <c r="F52" s="206" t="s">
        <v>112</v>
      </c>
      <c r="G52" s="206" t="s">
        <v>112</v>
      </c>
    </row>
    <row r="53" spans="1:7" x14ac:dyDescent="0.2">
      <c r="A53" s="222"/>
      <c r="B53" s="39" t="str">
        <f t="shared" si="9"/>
        <v>February</v>
      </c>
      <c r="C53" s="205">
        <f>IF(ISBLANK('Electric old'!G53),"-",'Electric old'!G53)</f>
        <v>1999.4624031473627</v>
      </c>
      <c r="D53" s="206" t="s">
        <v>112</v>
      </c>
      <c r="E53" s="205" t="str">
        <f>IF(ISBLANK('Water Old'!G53),"-",'Water Old'!G53)</f>
        <v>-</v>
      </c>
      <c r="F53" s="206" t="s">
        <v>112</v>
      </c>
      <c r="G53" s="206" t="s">
        <v>112</v>
      </c>
    </row>
    <row r="54" spans="1:7" x14ac:dyDescent="0.2">
      <c r="A54" s="222"/>
      <c r="B54" s="39" t="str">
        <f t="shared" si="9"/>
        <v>March</v>
      </c>
      <c r="C54" s="205">
        <f>IF(ISBLANK('Electric old'!G54),"-",'Electric old'!G54)</f>
        <v>1398.4628</v>
      </c>
      <c r="D54" s="206" t="s">
        <v>112</v>
      </c>
      <c r="E54" s="205" t="str">
        <f>IF(ISBLANK('Water Old'!G54),"-",'Water Old'!G54)</f>
        <v>-</v>
      </c>
      <c r="F54" s="205">
        <f t="shared" ref="F54:F63" si="10">SUM(C54:E54)</f>
        <v>1398.4628</v>
      </c>
      <c r="G54" s="207">
        <f>F54</f>
        <v>1398.4628</v>
      </c>
    </row>
    <row r="55" spans="1:7" x14ac:dyDescent="0.2">
      <c r="A55" s="222"/>
      <c r="B55" s="39" t="str">
        <f t="shared" si="9"/>
        <v>April</v>
      </c>
      <c r="C55" s="205">
        <f>IF(ISBLANK('Electric old'!G55),"-",'Electric old'!G55)</f>
        <v>1690.17471</v>
      </c>
      <c r="D55" s="205">
        <f>IF(ISBLANK(2/24*('Gas Old'!$H$4+'Gas Old'!$H$13)),"-",2/24*('Gas Old'!$H$4+'Gas Old'!$H$13))</f>
        <v>472.90451999999993</v>
      </c>
      <c r="E55" s="205">
        <f>IF(ISBLANK('Water Old'!G55),"-",'Water Old'!G55)</f>
        <v>64.200084136000001</v>
      </c>
      <c r="F55" s="205">
        <f t="shared" si="10"/>
        <v>2227.2793141359998</v>
      </c>
      <c r="G55" s="207">
        <f t="shared" ref="G55:G63" si="11">F55+G54</f>
        <v>3625.7421141360001</v>
      </c>
    </row>
    <row r="56" spans="1:7" x14ac:dyDescent="0.2">
      <c r="A56" s="222"/>
      <c r="B56" s="39" t="str">
        <f t="shared" si="9"/>
        <v>May</v>
      </c>
      <c r="C56" s="205">
        <f>IF(ISBLANK('Electric old'!G56),"-",'Electric old'!G56)</f>
        <v>1422.6105600000001</v>
      </c>
      <c r="D56" s="205">
        <f>IF(ISBLANK(2/24*('Gas Old'!$H$5+'Gas Old'!$H$14)),"-",2/24*('Gas Old'!$H$5+'Gas Old'!$H$14))</f>
        <v>308.23301999999995</v>
      </c>
      <c r="E56" s="205">
        <f>IF(ISBLANK('Water Old'!G56),"-",'Water Old'!G56)</f>
        <v>54.265040184630394</v>
      </c>
      <c r="F56" s="205">
        <f t="shared" si="10"/>
        <v>1785.1086201846304</v>
      </c>
      <c r="G56" s="207">
        <f t="shared" si="11"/>
        <v>5410.8507343206302</v>
      </c>
    </row>
    <row r="57" spans="1:7" x14ac:dyDescent="0.2">
      <c r="A57" s="222"/>
      <c r="B57" s="39" t="str">
        <f t="shared" si="9"/>
        <v>June</v>
      </c>
      <c r="C57" s="205">
        <f>IF(ISBLANK('Electric old'!G57),"-",'Electric old'!G57)</f>
        <v>510.51220683999998</v>
      </c>
      <c r="D57" s="205">
        <f>IF(ISBLANK(2/24*('Gas Old'!$H$6+'Gas Old'!$H$15)),"-",2/24*('Gas Old'!$H$6+'Gas Old'!$H$15))</f>
        <v>144.91698</v>
      </c>
      <c r="E57" s="205">
        <f>IF(ISBLANK('Water Old'!G57),"-",'Water Old'!G57)</f>
        <v>0.35188423859519996</v>
      </c>
      <c r="F57" s="205">
        <f t="shared" si="10"/>
        <v>655.78107107859512</v>
      </c>
      <c r="G57" s="207">
        <f t="shared" si="11"/>
        <v>6066.6318053992254</v>
      </c>
    </row>
    <row r="58" spans="1:7" x14ac:dyDescent="0.2">
      <c r="A58" s="222"/>
      <c r="B58" s="39" t="str">
        <f t="shared" si="9"/>
        <v>July</v>
      </c>
      <c r="C58" s="205">
        <f>IF(ISBLANK('Electric old'!G58),"-",'Electric old'!G58)</f>
        <v>601.74575372000004</v>
      </c>
      <c r="D58" s="205">
        <f>IF(ISBLANK(2/24*('Gas Old'!$H$7+'Gas Old'!$H$16)),"-",2/24*('Gas Old'!$H$7+'Gas Old'!$H$16))</f>
        <v>149.46988333333331</v>
      </c>
      <c r="E58" s="205">
        <f>IF(ISBLANK('Water Old'!G58),"-",'Water Old'!G58)</f>
        <v>8.2463894348799993</v>
      </c>
      <c r="F58" s="205">
        <f t="shared" si="10"/>
        <v>759.46202648821338</v>
      </c>
      <c r="G58" s="207">
        <f t="shared" si="11"/>
        <v>6826.0938318874387</v>
      </c>
    </row>
    <row r="59" spans="1:7" x14ac:dyDescent="0.2">
      <c r="A59" s="222"/>
      <c r="B59" s="39" t="str">
        <f t="shared" si="9"/>
        <v>August</v>
      </c>
      <c r="C59" s="205">
        <f>IF(ISBLANK('Electric old'!G59),"-",'Electric old'!G59)</f>
        <v>1293.90228</v>
      </c>
      <c r="D59" s="205">
        <f>IF(ISBLANK(2/24*('Gas Old'!$H$8+'Gas Old'!$H$17)),"-",2/24*('Gas Old'!$H$8+'Gas Old'!$H$17))</f>
        <v>184.43542916666664</v>
      </c>
      <c r="E59" s="205">
        <f>IF(ISBLANK('Water Old'!G59),"-",'Water Old'!G59)</f>
        <v>95.497878815336406</v>
      </c>
      <c r="F59" s="205">
        <f t="shared" si="10"/>
        <v>1573.8355879820031</v>
      </c>
      <c r="G59" s="207">
        <f t="shared" si="11"/>
        <v>8399.9294198694424</v>
      </c>
    </row>
    <row r="60" spans="1:7" x14ac:dyDescent="0.2">
      <c r="A60" s="222"/>
      <c r="B60" s="39" t="str">
        <f t="shared" si="9"/>
        <v>September</v>
      </c>
      <c r="C60" s="205">
        <f>IF(ISBLANK('Electric old'!G60),"-",'Electric old'!G60)</f>
        <v>1950.3576</v>
      </c>
      <c r="D60" s="205">
        <f>IF(ISBLANK(2/24*('Gas Old'!$H9+'Gas Old'!$H18)),"-",2/24*('Gas Old'!$H9+'Gas Old'!$H18))</f>
        <v>264.1431</v>
      </c>
      <c r="E60" s="205">
        <f>IF(ISBLANK('Water Old'!G60),"-",'Water Old'!G60)</f>
        <v>79.669031153368522</v>
      </c>
      <c r="F60" s="205">
        <f t="shared" si="10"/>
        <v>2294.1697311533685</v>
      </c>
      <c r="G60" s="207">
        <f t="shared" si="11"/>
        <v>10694.09915102281</v>
      </c>
    </row>
    <row r="61" spans="1:7" x14ac:dyDescent="0.2">
      <c r="A61" s="222"/>
      <c r="B61" s="39" t="str">
        <f t="shared" si="9"/>
        <v>October</v>
      </c>
      <c r="C61" s="205">
        <f>IF(ISBLANK('Electric old'!G61),"-",'Electric old'!G61)</f>
        <v>2738.9648000000002</v>
      </c>
      <c r="D61" s="205">
        <f>IF(ISBLANK(2/24*('Gas Old'!$H10+'Gas Old'!$H19)),"-",2/24*('Gas Old'!$H10+'Gas Old'!$H19))</f>
        <v>395.47924999999992</v>
      </c>
      <c r="E61" s="205">
        <f>IF(ISBLANK('Water Old'!G61),"-",'Water Old'!G61)</f>
        <v>118.98357424000001</v>
      </c>
      <c r="F61" s="205">
        <f t="shared" si="10"/>
        <v>3253.4276242400001</v>
      </c>
      <c r="G61" s="207">
        <f t="shared" si="11"/>
        <v>13947.52677526281</v>
      </c>
    </row>
    <row r="62" spans="1:7" x14ac:dyDescent="0.2">
      <c r="A62" s="222"/>
      <c r="B62" s="39" t="str">
        <f t="shared" si="9"/>
        <v>November</v>
      </c>
      <c r="C62" s="205">
        <f>IF(ISBLANK('Electric old'!G62),"-",'Electric old'!G62)</f>
        <v>1016.0554000000001</v>
      </c>
      <c r="D62" s="205">
        <f>IF(ISBLANK(2/24*('Gas Old'!$H11+'Gas Old'!$H20)),"-",2/24*('Gas Old'!$H11+'Gas Old'!$H20))</f>
        <v>379.0139416666666</v>
      </c>
      <c r="E62" s="205">
        <f>IF(ISBLANK('Water Old'!G62),"-",'Water Old'!G62)</f>
        <v>57.989812799999996</v>
      </c>
      <c r="F62" s="205">
        <f t="shared" si="10"/>
        <v>1453.0591544666668</v>
      </c>
      <c r="G62" s="207">
        <f t="shared" si="11"/>
        <v>15400.585929729477</v>
      </c>
    </row>
    <row r="63" spans="1:7" x14ac:dyDescent="0.2">
      <c r="A63" s="222"/>
      <c r="B63" s="39" t="str">
        <f t="shared" si="9"/>
        <v>December</v>
      </c>
      <c r="C63" s="205">
        <f>IF(ISBLANK('Electric old'!G63),"-",'Electric old'!G63)</f>
        <v>881.10335310434368</v>
      </c>
      <c r="D63" s="205">
        <f>IF(ISBLANK(2/24*('Gas Old'!$H12+'Gas Old'!$H21)),"-",2/24*('Gas Old'!$H12+'Gas Old'!$H21))</f>
        <v>469.71095318246381</v>
      </c>
      <c r="E63" s="205">
        <f>IF(ISBLANK('Water Old'!G63),"-",'Water Old'!G63)</f>
        <v>38.531847636878098</v>
      </c>
      <c r="F63" s="205">
        <f t="shared" si="10"/>
        <v>1389.3461539236857</v>
      </c>
      <c r="G63" s="207">
        <f t="shared" si="11"/>
        <v>16789.932083653162</v>
      </c>
    </row>
    <row r="64" spans="1:7" x14ac:dyDescent="0.2">
      <c r="A64" s="221" t="s">
        <v>15</v>
      </c>
      <c r="B64" s="39" t="str">
        <f t="shared" si="9"/>
        <v>January</v>
      </c>
      <c r="C64" s="205">
        <f>IF(ISBLANK('Electric old'!G64),"-",'Electric old'!G64)</f>
        <v>106.96775251312455</v>
      </c>
      <c r="D64" s="206" t="s">
        <v>112</v>
      </c>
      <c r="E64" s="205" t="str">
        <f>IF(ISBLANK('Water Old'!G64),"-",'Water Old'!G64)</f>
        <v>-</v>
      </c>
      <c r="F64" s="206" t="s">
        <v>112</v>
      </c>
      <c r="G64" s="206" t="s">
        <v>112</v>
      </c>
    </row>
    <row r="65" spans="1:7" x14ac:dyDescent="0.2">
      <c r="A65" s="222"/>
      <c r="B65" s="39" t="str">
        <f t="shared" si="9"/>
        <v>February</v>
      </c>
      <c r="C65" s="205">
        <f>IF(ISBLANK('Electric old'!G65),"-",'Electric old'!G65)</f>
        <v>151.95798559870008</v>
      </c>
      <c r="D65" s="206" t="s">
        <v>112</v>
      </c>
      <c r="E65" s="205" t="str">
        <f>IF(ISBLANK('Water Old'!G65),"-",'Water Old'!G65)</f>
        <v>-</v>
      </c>
      <c r="F65" s="206" t="s">
        <v>112</v>
      </c>
      <c r="G65" s="206" t="s">
        <v>112</v>
      </c>
    </row>
    <row r="66" spans="1:7" x14ac:dyDescent="0.2">
      <c r="A66" s="222"/>
      <c r="B66" s="39" t="str">
        <f t="shared" si="9"/>
        <v>March</v>
      </c>
      <c r="C66" s="205">
        <f>IF(ISBLANK('Electric old'!G66),"-",'Electric old'!G66)</f>
        <v>83.510559999999998</v>
      </c>
      <c r="D66" s="206" t="s">
        <v>112</v>
      </c>
      <c r="E66" s="205" t="str">
        <f>IF(ISBLANK('Water Old'!G66),"-",'Water Old'!G66)</f>
        <v>-</v>
      </c>
      <c r="F66" s="205">
        <f t="shared" ref="F66:F75" si="12">SUM(C66:E66)</f>
        <v>83.510559999999998</v>
      </c>
      <c r="G66" s="207">
        <f>F66</f>
        <v>83.510559999999998</v>
      </c>
    </row>
    <row r="67" spans="1:7" x14ac:dyDescent="0.2">
      <c r="A67" s="222"/>
      <c r="B67" s="39" t="str">
        <f t="shared" si="9"/>
        <v>April</v>
      </c>
      <c r="C67" s="205">
        <f>IF(ISBLANK('Electric old'!G67),"-",'Electric old'!G67)</f>
        <v>97.350120000000004</v>
      </c>
      <c r="D67" s="205">
        <f>IF(ISBLANK(2/24*('Gas Old'!$H$4+'Gas Old'!$H$13)),"-",2/24*('Gas Old'!$H$4+'Gas Old'!$H$13))</f>
        <v>472.90451999999993</v>
      </c>
      <c r="E67" s="205">
        <f>IF(ISBLANK('Water Old'!G67),"-",'Water Old'!G67)</f>
        <v>64.200084136000001</v>
      </c>
      <c r="F67" s="205">
        <f t="shared" si="12"/>
        <v>634.45472413599987</v>
      </c>
      <c r="G67" s="207">
        <f t="shared" ref="G67:G75" si="13">F67+G66</f>
        <v>717.96528413599981</v>
      </c>
    </row>
    <row r="68" spans="1:7" x14ac:dyDescent="0.2">
      <c r="A68" s="222"/>
      <c r="B68" s="39" t="str">
        <f t="shared" si="9"/>
        <v>May</v>
      </c>
      <c r="C68" s="205">
        <f>IF(ISBLANK('Electric old'!G68),"-",'Electric old'!G68)</f>
        <v>118.17792</v>
      </c>
      <c r="D68" s="205">
        <f>IF(ISBLANK(2/24*('Gas Old'!$H$5+'Gas Old'!$H$14)),"-",2/24*('Gas Old'!$H$5+'Gas Old'!$H$14))</f>
        <v>308.23301999999995</v>
      </c>
      <c r="E68" s="205">
        <f>IF(ISBLANK('Water Old'!G68),"-",'Water Old'!G68)</f>
        <v>54.265040184630394</v>
      </c>
      <c r="F68" s="205">
        <f t="shared" si="12"/>
        <v>480.67598018463036</v>
      </c>
      <c r="G68" s="207">
        <f t="shared" si="13"/>
        <v>1198.6412643206302</v>
      </c>
    </row>
    <row r="69" spans="1:7" x14ac:dyDescent="0.2">
      <c r="A69" s="222"/>
      <c r="B69" s="39" t="str">
        <f t="shared" si="9"/>
        <v>June</v>
      </c>
      <c r="C69" s="205">
        <f>IF(ISBLANK('Electric old'!G69),"-",'Electric old'!G69)</f>
        <v>115.67110407999999</v>
      </c>
      <c r="D69" s="205">
        <f>IF(ISBLANK(2/24*('Gas Old'!$H$6+'Gas Old'!$H$15)),"-",2/24*('Gas Old'!$H$6+'Gas Old'!$H$15))</f>
        <v>144.91698</v>
      </c>
      <c r="E69" s="205">
        <f>IF(ISBLANK('Water Old'!G69),"-",'Water Old'!G69)</f>
        <v>0.35188423859519996</v>
      </c>
      <c r="F69" s="205">
        <f t="shared" si="12"/>
        <v>260.93996831859516</v>
      </c>
      <c r="G69" s="207">
        <f t="shared" si="13"/>
        <v>1459.5812326392254</v>
      </c>
    </row>
    <row r="70" spans="1:7" x14ac:dyDescent="0.2">
      <c r="A70" s="222"/>
      <c r="B70" s="39" t="str">
        <f t="shared" si="9"/>
        <v>July</v>
      </c>
      <c r="C70" s="205">
        <f>IF(ISBLANK('Electric old'!G70),"-",'Electric old'!G70)</f>
        <v>136.61758168</v>
      </c>
      <c r="D70" s="205">
        <f>IF(ISBLANK(2/24*('Gas Old'!$H$7+'Gas Old'!$H$16)),"-",2/24*('Gas Old'!$H$7+'Gas Old'!$H$16))</f>
        <v>149.46988333333331</v>
      </c>
      <c r="E70" s="205">
        <f>IF(ISBLANK('Water Old'!G70),"-",'Water Old'!G70)</f>
        <v>8.2463894348799993</v>
      </c>
      <c r="F70" s="205">
        <f t="shared" si="12"/>
        <v>294.33385444821329</v>
      </c>
      <c r="G70" s="207">
        <f t="shared" si="13"/>
        <v>1753.9150870874387</v>
      </c>
    </row>
    <row r="71" spans="1:7" x14ac:dyDescent="0.2">
      <c r="A71" s="222"/>
      <c r="B71" s="39" t="str">
        <f t="shared" si="9"/>
        <v>August</v>
      </c>
      <c r="C71" s="205">
        <f>IF(ISBLANK('Electric old'!G71),"-",'Electric old'!G71)</f>
        <v>143.89452</v>
      </c>
      <c r="D71" s="205">
        <f>IF(ISBLANK(2/24*('Gas Old'!$H$8+'Gas Old'!$H$17)),"-",2/24*('Gas Old'!$H$8+'Gas Old'!$H$17))</f>
        <v>184.43542916666664</v>
      </c>
      <c r="E71" s="205">
        <f>IF(ISBLANK('Water Old'!G71),"-",'Water Old'!G71)</f>
        <v>95.497878815336406</v>
      </c>
      <c r="F71" s="205">
        <f t="shared" si="12"/>
        <v>423.8278279820031</v>
      </c>
      <c r="G71" s="207">
        <f t="shared" si="13"/>
        <v>2177.7429150694416</v>
      </c>
    </row>
    <row r="72" spans="1:7" x14ac:dyDescent="0.2">
      <c r="A72" s="222"/>
      <c r="B72" s="39" t="str">
        <f t="shared" si="9"/>
        <v>September</v>
      </c>
      <c r="C72" s="205">
        <f>IF(ISBLANK('Electric old'!G72),"-",'Electric old'!G72)</f>
        <v>156.0744</v>
      </c>
      <c r="D72" s="205">
        <f>IF(ISBLANK(2/24*('Gas Old'!$H9+'Gas Old'!$H18)),"-",2/24*('Gas Old'!$H9+'Gas Old'!$H18))</f>
        <v>264.1431</v>
      </c>
      <c r="E72" s="205">
        <f>IF(ISBLANK('Water Old'!G72),"-",'Water Old'!G72)</f>
        <v>79.669031153368522</v>
      </c>
      <c r="F72" s="205">
        <f t="shared" si="12"/>
        <v>499.88653115336848</v>
      </c>
      <c r="G72" s="207">
        <f t="shared" si="13"/>
        <v>2677.6294462228102</v>
      </c>
    </row>
    <row r="73" spans="1:7" x14ac:dyDescent="0.2">
      <c r="A73" s="222"/>
      <c r="B73" s="39" t="str">
        <f t="shared" si="9"/>
        <v>October</v>
      </c>
      <c r="C73" s="205">
        <f>IF(ISBLANK('Electric old'!G73),"-",'Electric old'!G73)</f>
        <v>167.3672</v>
      </c>
      <c r="D73" s="205">
        <f>IF(ISBLANK(2/24*('Gas Old'!$H10+'Gas Old'!$H19)),"-",2/24*('Gas Old'!$H10+'Gas Old'!$H19))</f>
        <v>395.47924999999992</v>
      </c>
      <c r="E73" s="205">
        <f>IF(ISBLANK('Water Old'!G73),"-",'Water Old'!G73)</f>
        <v>118.98357424000001</v>
      </c>
      <c r="F73" s="205">
        <f t="shared" si="12"/>
        <v>681.83002423999994</v>
      </c>
      <c r="G73" s="207">
        <f t="shared" si="13"/>
        <v>3359.4594704628103</v>
      </c>
    </row>
    <row r="74" spans="1:7" x14ac:dyDescent="0.2">
      <c r="A74" s="222"/>
      <c r="B74" s="39" t="str">
        <f t="shared" si="9"/>
        <v>November</v>
      </c>
      <c r="C74" s="205">
        <f>IF(ISBLANK('Electric old'!G74),"-",'Electric old'!G74)</f>
        <v>60.366800000000005</v>
      </c>
      <c r="D74" s="205">
        <f>IF(ISBLANK(2/24*('Gas Old'!$H11+'Gas Old'!$H20)),"-",2/24*('Gas Old'!$H11+'Gas Old'!$H20))</f>
        <v>379.0139416666666</v>
      </c>
      <c r="E74" s="205">
        <f>IF(ISBLANK('Water Old'!G74),"-",'Water Old'!G74)</f>
        <v>57.989812799999996</v>
      </c>
      <c r="F74" s="205">
        <f t="shared" si="12"/>
        <v>497.37055446666659</v>
      </c>
      <c r="G74" s="207">
        <f t="shared" si="13"/>
        <v>3856.8300249294771</v>
      </c>
    </row>
    <row r="75" spans="1:7" x14ac:dyDescent="0.2">
      <c r="A75" s="222"/>
      <c r="B75" s="39" t="str">
        <f t="shared" si="9"/>
        <v>December</v>
      </c>
      <c r="C75" s="205">
        <f>IF(ISBLANK('Electric old'!G75),"-",'Electric old'!G75)</f>
        <v>101.78090828611897</v>
      </c>
      <c r="D75" s="205">
        <f>IF(ISBLANK(2/24*('Gas Old'!$H12+'Gas Old'!$H21)),"-",2/24*('Gas Old'!$H12+'Gas Old'!$H21))</f>
        <v>469.71095318246381</v>
      </c>
      <c r="E75" s="205">
        <f>IF(ISBLANK('Water Old'!G75),"-",'Water Old'!G75)</f>
        <v>38.531847636878098</v>
      </c>
      <c r="F75" s="205">
        <f t="shared" si="12"/>
        <v>610.02370910546085</v>
      </c>
      <c r="G75" s="207">
        <f t="shared" si="13"/>
        <v>4466.8537340349376</v>
      </c>
    </row>
    <row r="76" spans="1:7" x14ac:dyDescent="0.2">
      <c r="A76" s="221" t="s">
        <v>17</v>
      </c>
      <c r="B76" s="39" t="str">
        <f t="shared" si="9"/>
        <v>January</v>
      </c>
      <c r="C76" s="205">
        <f>IF(ISBLANK('Electric old'!G76),"-",'Electric old'!G76)</f>
        <v>154.48949174436515</v>
      </c>
      <c r="D76" s="206" t="s">
        <v>112</v>
      </c>
      <c r="E76" s="205" t="str">
        <f>IF(ISBLANK('Water Old'!G76),"-",'Water Old'!G76)</f>
        <v>-</v>
      </c>
      <c r="F76" s="206" t="s">
        <v>112</v>
      </c>
      <c r="G76" s="206" t="s">
        <v>112</v>
      </c>
    </row>
    <row r="77" spans="1:7" x14ac:dyDescent="0.2">
      <c r="A77" s="222"/>
      <c r="B77" s="39" t="str">
        <f t="shared" si="9"/>
        <v>February</v>
      </c>
      <c r="C77" s="205">
        <f>IF(ISBLANK('Electric old'!G77),"-",'Electric old'!G77)</f>
        <v>311.43673444403635</v>
      </c>
      <c r="D77" s="206" t="s">
        <v>112</v>
      </c>
      <c r="E77" s="205" t="str">
        <f>IF(ISBLANK('Water Old'!G77),"-",'Water Old'!G77)</f>
        <v>-</v>
      </c>
      <c r="F77" s="206" t="s">
        <v>112</v>
      </c>
      <c r="G77" s="206" t="s">
        <v>112</v>
      </c>
    </row>
    <row r="78" spans="1:7" x14ac:dyDescent="0.2">
      <c r="A78" s="222"/>
      <c r="B78" s="39" t="str">
        <f t="shared" si="9"/>
        <v>March</v>
      </c>
      <c r="C78" s="205">
        <f>IF(ISBLANK('Electric old'!G78),"-",'Electric old'!G78)</f>
        <v>219.23943999999997</v>
      </c>
      <c r="D78" s="206" t="s">
        <v>112</v>
      </c>
      <c r="E78" s="205" t="str">
        <f>IF(ISBLANK('Water Old'!G78),"-",'Water Old'!G78)</f>
        <v>-</v>
      </c>
      <c r="F78" s="205">
        <f t="shared" ref="F78:F87" si="14">SUM(C78:E78)</f>
        <v>219.23943999999997</v>
      </c>
      <c r="G78" s="207">
        <f>F78</f>
        <v>219.23943999999997</v>
      </c>
    </row>
    <row r="79" spans="1:7" x14ac:dyDescent="0.2">
      <c r="A79" s="222"/>
      <c r="B79" s="39" t="str">
        <f t="shared" si="9"/>
        <v>April</v>
      </c>
      <c r="C79" s="205">
        <f>IF(ISBLANK('Electric old'!G79),"-",'Electric old'!G79)</f>
        <v>255.59541000000002</v>
      </c>
      <c r="D79" s="205">
        <f>IF(ISBLANK(1/24*('Gas Old'!$H$4+'Gas Old'!$H$13)),"-",1/24*('Gas Old'!$H$4+'Gas Old'!$H$13))</f>
        <v>236.45225999999997</v>
      </c>
      <c r="E79" s="205">
        <f>IF(ISBLANK('Water Old'!G79),"-",'Water Old'!G79)</f>
        <v>64.200084136000001</v>
      </c>
      <c r="F79" s="205">
        <f t="shared" si="14"/>
        <v>556.24775413600003</v>
      </c>
      <c r="G79" s="207">
        <f t="shared" ref="G79:G87" si="15">F79+G78</f>
        <v>775.48719413599997</v>
      </c>
    </row>
    <row r="80" spans="1:7" x14ac:dyDescent="0.2">
      <c r="A80" s="222"/>
      <c r="B80" s="39" t="str">
        <f t="shared" ref="B80:B111" si="16">B68</f>
        <v>May</v>
      </c>
      <c r="C80" s="205">
        <f>IF(ISBLANK('Electric old'!G80),"-",'Electric old'!G80)</f>
        <v>223.1712</v>
      </c>
      <c r="D80" s="205">
        <f>IF(ISBLANK(1/24*('Gas Old'!$H$5+'Gas Old'!$H$14)),"-",1/24*('Gas Old'!$H$5+'Gas Old'!$H$14))</f>
        <v>154.11650999999998</v>
      </c>
      <c r="E80" s="205">
        <f>IF(ISBLANK('Water Old'!G80),"-",'Water Old'!G80)</f>
        <v>54.265040184630394</v>
      </c>
      <c r="F80" s="205">
        <f t="shared" si="14"/>
        <v>431.55275018463033</v>
      </c>
      <c r="G80" s="207">
        <f t="shared" si="15"/>
        <v>1207.0399443206302</v>
      </c>
    </row>
    <row r="81" spans="1:7" x14ac:dyDescent="0.2">
      <c r="A81" s="222"/>
      <c r="B81" s="39" t="str">
        <f t="shared" si="16"/>
        <v>June</v>
      </c>
      <c r="C81" s="205">
        <f>IF(ISBLANK('Electric old'!G81),"-",'Electric old'!G81)</f>
        <v>74.243626160000005</v>
      </c>
      <c r="D81" s="205">
        <f>IF(ISBLANK(1/24*('Gas Old'!$H$6+'Gas Old'!$H$15)),"-",1/24*('Gas Old'!$H$6+'Gas Old'!$H$15))</f>
        <v>72.458489999999998</v>
      </c>
      <c r="E81" s="205">
        <f>IF(ISBLANK('Water Old'!G81),"-",'Water Old'!G81)</f>
        <v>0.35188423859519996</v>
      </c>
      <c r="F81" s="205">
        <f t="shared" si="14"/>
        <v>147.05400039859521</v>
      </c>
      <c r="G81" s="207">
        <f t="shared" si="15"/>
        <v>1354.0939447192254</v>
      </c>
    </row>
    <row r="82" spans="1:7" x14ac:dyDescent="0.2">
      <c r="A82" s="222"/>
      <c r="B82" s="39" t="str">
        <f t="shared" si="16"/>
        <v>July</v>
      </c>
      <c r="C82" s="205">
        <f>IF(ISBLANK('Electric old'!G82),"-",'Electric old'!G82)</f>
        <v>159.19322976000001</v>
      </c>
      <c r="D82" s="205">
        <f>IF(ISBLANK(1/24*('Gas Old'!$H$7+'Gas Old'!$H$16)),"-",1/24*('Gas Old'!$H$7+'Gas Old'!$H$16))</f>
        <v>74.734941666666657</v>
      </c>
      <c r="E82" s="205">
        <f>IF(ISBLANK('Water Old'!G82),"-",'Water Old'!G82)</f>
        <v>8.2463894348799993</v>
      </c>
      <c r="F82" s="205">
        <f t="shared" si="14"/>
        <v>242.17456086154667</v>
      </c>
      <c r="G82" s="207">
        <f t="shared" si="15"/>
        <v>1596.2685055807722</v>
      </c>
    </row>
    <row r="83" spans="1:7" x14ac:dyDescent="0.2">
      <c r="A83" s="222"/>
      <c r="B83" s="39" t="str">
        <f t="shared" si="16"/>
        <v>August</v>
      </c>
      <c r="C83" s="205">
        <f>IF(ISBLANK('Electric old'!G83),"-",'Electric old'!G83)</f>
        <v>214.7508</v>
      </c>
      <c r="D83" s="205">
        <f>IF(ISBLANK(1/24*('Gas Old'!$H$8+'Gas Old'!$H$17)),"-",1/24*('Gas Old'!$H$8+'Gas Old'!$H$17))</f>
        <v>92.217714583333319</v>
      </c>
      <c r="E83" s="205">
        <f>IF(ISBLANK('Water Old'!G83),"-",'Water Old'!G83)</f>
        <v>95.497878815336406</v>
      </c>
      <c r="F83" s="205">
        <f t="shared" si="14"/>
        <v>402.46639339866977</v>
      </c>
      <c r="G83" s="207">
        <f t="shared" si="15"/>
        <v>1998.7348989794418</v>
      </c>
    </row>
    <row r="84" spans="1:7" x14ac:dyDescent="0.2">
      <c r="A84" s="222"/>
      <c r="B84" s="39" t="str">
        <f t="shared" si="16"/>
        <v>September</v>
      </c>
      <c r="C84" s="205">
        <f>IF(ISBLANK('Electric old'!G84),"-",'Electric old'!G84)</f>
        <v>314.31120000000004</v>
      </c>
      <c r="D84" s="205">
        <f>IF(ISBLANK(1/24*('Gas Old'!$H9+'Gas Old'!$H18)),"-",1/24*('Gas Old'!$H9+'Gas Old'!$H18))</f>
        <v>132.07155</v>
      </c>
      <c r="E84" s="205">
        <f>IF(ISBLANK('Water Old'!G84),"-",'Water Old'!G84)</f>
        <v>39.834515576684261</v>
      </c>
      <c r="F84" s="205">
        <f t="shared" si="14"/>
        <v>486.21726557668433</v>
      </c>
      <c r="G84" s="207">
        <f t="shared" si="15"/>
        <v>2484.9521645561263</v>
      </c>
    </row>
    <row r="85" spans="1:7" x14ac:dyDescent="0.2">
      <c r="A85" s="222"/>
      <c r="B85" s="39" t="str">
        <f t="shared" si="16"/>
        <v>October</v>
      </c>
      <c r="C85" s="205">
        <f>IF(ISBLANK('Electric old'!G85),"-",'Electric old'!G85)</f>
        <v>404.17520000000002</v>
      </c>
      <c r="D85" s="205">
        <f>IF(ISBLANK(1/24*('Gas Old'!$H10+'Gas Old'!$H19)),"-",1/24*('Gas Old'!$H10+'Gas Old'!$H19))</f>
        <v>197.73962499999996</v>
      </c>
      <c r="E85" s="205">
        <f>IF(ISBLANK('Water Old'!G85),"-",'Water Old'!G85)</f>
        <v>59.491787120000005</v>
      </c>
      <c r="F85" s="205">
        <f t="shared" si="14"/>
        <v>661.40661211999998</v>
      </c>
      <c r="G85" s="207">
        <f t="shared" si="15"/>
        <v>3146.3587766761261</v>
      </c>
    </row>
    <row r="86" spans="1:7" x14ac:dyDescent="0.2">
      <c r="A86" s="222"/>
      <c r="B86" s="39" t="str">
        <f t="shared" si="16"/>
        <v>November</v>
      </c>
      <c r="C86" s="205">
        <f>IF(ISBLANK('Electric old'!G86),"-",'Electric old'!G86)</f>
        <v>154.04250000000002</v>
      </c>
      <c r="D86" s="205">
        <f>IF(ISBLANK(1/24*('Gas Old'!$H11+'Gas Old'!$H20)),"-",1/24*('Gas Old'!$H11+'Gas Old'!$H20))</f>
        <v>189.5069708333333</v>
      </c>
      <c r="E86" s="205">
        <f>IF(ISBLANK('Water Old'!G86),"-",'Water Old'!G86)</f>
        <v>28.994906399999998</v>
      </c>
      <c r="F86" s="205">
        <f t="shared" si="14"/>
        <v>372.54437723333331</v>
      </c>
      <c r="G86" s="207">
        <f t="shared" si="15"/>
        <v>3518.9031539094594</v>
      </c>
    </row>
    <row r="87" spans="1:7" x14ac:dyDescent="0.2">
      <c r="A87" s="222"/>
      <c r="B87" s="39" t="str">
        <f t="shared" si="16"/>
        <v>December</v>
      </c>
      <c r="C87" s="205">
        <f>IF(ISBLANK('Electric old'!G87),"-",'Electric old'!G87)</f>
        <v>121.37509383852691</v>
      </c>
      <c r="D87" s="205">
        <f>IF(ISBLANK(1/24*('Gas Old'!$H12+'Gas Old'!$H21)),"-",1/24*('Gas Old'!$H12+'Gas Old'!$H21))</f>
        <v>234.85547659123191</v>
      </c>
      <c r="E87" s="205">
        <f>IF(ISBLANK('Water Old'!G87),"-",'Water Old'!G87)</f>
        <v>19.265923818439049</v>
      </c>
      <c r="F87" s="205">
        <f t="shared" si="14"/>
        <v>375.49649424819785</v>
      </c>
      <c r="G87" s="207">
        <f t="shared" si="15"/>
        <v>3894.3996481576573</v>
      </c>
    </row>
    <row r="88" spans="1:7" x14ac:dyDescent="0.2">
      <c r="A88" s="221" t="s">
        <v>94</v>
      </c>
      <c r="B88" s="39" t="str">
        <f t="shared" si="16"/>
        <v>January</v>
      </c>
      <c r="C88" s="205">
        <f>IF(ISBLANK('Electric old'!G88),"-",'Electric old'!G88)</f>
        <v>171.06072553533281</v>
      </c>
      <c r="D88" s="206" t="s">
        <v>112</v>
      </c>
      <c r="E88" s="205" t="str">
        <f>IF(ISBLANK('Water Old'!G88),"-",'Water Old'!G88)</f>
        <v>-</v>
      </c>
      <c r="F88" s="206" t="s">
        <v>112</v>
      </c>
      <c r="G88" s="206" t="s">
        <v>112</v>
      </c>
    </row>
    <row r="89" spans="1:7" x14ac:dyDescent="0.2">
      <c r="A89" s="222"/>
      <c r="B89" s="39" t="str">
        <f t="shared" si="16"/>
        <v>February</v>
      </c>
      <c r="C89" s="205">
        <f>IF(ISBLANK('Electric old'!G89),"-",'Electric old'!G89)</f>
        <v>355.01859325787672</v>
      </c>
      <c r="D89" s="206" t="s">
        <v>112</v>
      </c>
      <c r="E89" s="205" t="str">
        <f>IF(ISBLANK('Water Old'!G89),"-",'Water Old'!G89)</f>
        <v>-</v>
      </c>
      <c r="F89" s="206" t="s">
        <v>112</v>
      </c>
      <c r="G89" s="206" t="s">
        <v>112</v>
      </c>
    </row>
    <row r="90" spans="1:7" x14ac:dyDescent="0.2">
      <c r="A90" s="222"/>
      <c r="B90" s="39" t="str">
        <f t="shared" si="16"/>
        <v>March</v>
      </c>
      <c r="C90" s="205">
        <f>IF(ISBLANK('Electric old'!G90),"-",'Electric old'!G90)</f>
        <v>251.69423999999998</v>
      </c>
      <c r="D90" s="206" t="s">
        <v>112</v>
      </c>
      <c r="E90" s="205" t="str">
        <f>IF(ISBLANK('Water Old'!G90),"-",'Water Old'!G90)</f>
        <v>-</v>
      </c>
      <c r="F90" s="205">
        <f t="shared" ref="F90:F99" si="17">SUM(C90:E90)</f>
        <v>251.69423999999998</v>
      </c>
      <c r="G90" s="207">
        <f>F90</f>
        <v>251.69423999999998</v>
      </c>
    </row>
    <row r="91" spans="1:7" x14ac:dyDescent="0.2">
      <c r="A91" s="222"/>
      <c r="B91" s="39" t="str">
        <f t="shared" si="16"/>
        <v>April</v>
      </c>
      <c r="C91" s="205">
        <f>IF(ISBLANK('Electric old'!G91),"-",'Electric old'!G91)</f>
        <v>272.64195000000001</v>
      </c>
      <c r="D91" s="205">
        <f>IF(ISBLANK(2/24*('Gas Old'!$H$4+'Gas Old'!$H$13)),"-",2/24*('Gas Old'!$H$4+'Gas Old'!$H$13))</f>
        <v>472.90451999999993</v>
      </c>
      <c r="E91" s="205">
        <f>IF(ISBLANK('Water Old'!G91),"-",'Water Old'!G91)</f>
        <v>64.200084136000001</v>
      </c>
      <c r="F91" s="205">
        <f t="shared" si="17"/>
        <v>809.74655413599999</v>
      </c>
      <c r="G91" s="207">
        <f t="shared" ref="G91:G99" si="18">F91+G90</f>
        <v>1061.440794136</v>
      </c>
    </row>
    <row r="92" spans="1:7" x14ac:dyDescent="0.2">
      <c r="A92" s="222"/>
      <c r="B92" s="39" t="str">
        <f t="shared" si="16"/>
        <v>May</v>
      </c>
      <c r="C92" s="205">
        <f>IF(ISBLANK('Electric old'!G92),"-",'Electric old'!G92)</f>
        <v>227.16288</v>
      </c>
      <c r="D92" s="205">
        <f>IF(ISBLANK(2/24*('Gas Old'!$H$5+'Gas Old'!$H$14)),"-",2/24*('Gas Old'!$H$5+'Gas Old'!$H$14))</f>
        <v>308.23301999999995</v>
      </c>
      <c r="E92" s="205">
        <f>IF(ISBLANK('Water Old'!G92),"-",'Water Old'!G92)</f>
        <v>54.265040184630394</v>
      </c>
      <c r="F92" s="205">
        <f t="shared" si="17"/>
        <v>589.66094018463036</v>
      </c>
      <c r="G92" s="207">
        <f t="shared" si="18"/>
        <v>1651.1017343206304</v>
      </c>
    </row>
    <row r="93" spans="1:7" x14ac:dyDescent="0.2">
      <c r="A93" s="222"/>
      <c r="B93" s="39" t="str">
        <f t="shared" si="16"/>
        <v>June</v>
      </c>
      <c r="C93" s="205">
        <f>IF(ISBLANK('Electric old'!G93),"-",'Electric old'!G93)</f>
        <v>63.654018039999997</v>
      </c>
      <c r="D93" s="205">
        <f>IF(ISBLANK(2/24*('Gas Old'!$H$6+'Gas Old'!$H$15)),"-",2/24*('Gas Old'!$H$6+'Gas Old'!$H$15))</f>
        <v>144.91698</v>
      </c>
      <c r="E93" s="205">
        <f>IF(ISBLANK('Water Old'!G93),"-",'Water Old'!G93)</f>
        <v>0.35188423859519996</v>
      </c>
      <c r="F93" s="205">
        <f t="shared" si="17"/>
        <v>208.92288227859521</v>
      </c>
      <c r="G93" s="207">
        <f t="shared" si="18"/>
        <v>1860.0246165992255</v>
      </c>
    </row>
    <row r="94" spans="1:7" x14ac:dyDescent="0.2">
      <c r="A94" s="222"/>
      <c r="B94" s="39" t="str">
        <f t="shared" si="16"/>
        <v>July</v>
      </c>
      <c r="C94" s="205">
        <f>IF(ISBLANK('Electric old'!G94),"-",'Electric old'!G94)</f>
        <v>111.01633128</v>
      </c>
      <c r="D94" s="205">
        <f>IF(ISBLANK(2/24*('Gas Old'!$H$7+'Gas Old'!$H$16)),"-",2/24*('Gas Old'!$H$7+'Gas Old'!$H$16))</f>
        <v>149.46988333333331</v>
      </c>
      <c r="E94" s="205">
        <f>IF(ISBLANK('Water Old'!G94),"-",'Water Old'!G94)</f>
        <v>8.2463894348799993</v>
      </c>
      <c r="F94" s="205">
        <f t="shared" si="17"/>
        <v>268.73260404821332</v>
      </c>
      <c r="G94" s="207">
        <f t="shared" si="18"/>
        <v>2128.7572206474388</v>
      </c>
    </row>
    <row r="95" spans="1:7" x14ac:dyDescent="0.2">
      <c r="A95" s="222"/>
      <c r="B95" s="39" t="str">
        <f t="shared" si="16"/>
        <v>August</v>
      </c>
      <c r="C95" s="205">
        <f>IF(ISBLANK('Electric old'!G95),"-",'Electric old'!G95)</f>
        <v>143.77967999999998</v>
      </c>
      <c r="D95" s="205">
        <f>IF(ISBLANK(2/24*('Gas Old'!$H$8+'Gas Old'!$H$17)),"-",2/24*('Gas Old'!$H$8+'Gas Old'!$H$17))</f>
        <v>184.43542916666664</v>
      </c>
      <c r="E95" s="205">
        <f>IF(ISBLANK('Water Old'!G95),"-",'Water Old'!G95)</f>
        <v>95.497878815336406</v>
      </c>
      <c r="F95" s="205">
        <f t="shared" si="17"/>
        <v>423.71298798200303</v>
      </c>
      <c r="G95" s="207">
        <f t="shared" si="18"/>
        <v>2552.4702086294419</v>
      </c>
    </row>
    <row r="96" spans="1:7" x14ac:dyDescent="0.2">
      <c r="A96" s="222"/>
      <c r="B96" s="39" t="str">
        <f t="shared" si="16"/>
        <v>September</v>
      </c>
      <c r="C96" s="205">
        <f>IF(ISBLANK('Electric old'!G96),"-",'Electric old'!G96)</f>
        <v>220.56480000000002</v>
      </c>
      <c r="D96" s="205">
        <f>IF(ISBLANK(2/24*('Gas Old'!$H9+'Gas Old'!$H18)),"-",2/24*('Gas Old'!$H9+'Gas Old'!$H18))</f>
        <v>264.1431</v>
      </c>
      <c r="E96" s="205">
        <f>IF(ISBLANK('Water Old'!G96),"-",'Water Old'!G96)</f>
        <v>79.669031153368522</v>
      </c>
      <c r="F96" s="205">
        <f t="shared" si="17"/>
        <v>564.37693115336856</v>
      </c>
      <c r="G96" s="207">
        <f t="shared" si="18"/>
        <v>3116.8471397828107</v>
      </c>
    </row>
    <row r="97" spans="1:7" x14ac:dyDescent="0.2">
      <c r="A97" s="222"/>
      <c r="B97" s="39" t="str">
        <f t="shared" si="16"/>
        <v>October</v>
      </c>
      <c r="C97" s="205">
        <f>IF(ISBLANK('Electric old'!G97),"-",'Electric old'!G97)</f>
        <v>319.51920000000001</v>
      </c>
      <c r="D97" s="205">
        <f>IF(ISBLANK(2/24*('Gas Old'!$H10+'Gas Old'!$H19)),"-",2/24*('Gas Old'!$H10+'Gas Old'!$H19))</f>
        <v>395.47924999999992</v>
      </c>
      <c r="E97" s="205">
        <f>IF(ISBLANK('Water Old'!G97),"-",'Water Old'!G97)</f>
        <v>118.98357424000001</v>
      </c>
      <c r="F97" s="205">
        <f t="shared" si="17"/>
        <v>833.98202423999999</v>
      </c>
      <c r="G97" s="207">
        <f t="shared" si="18"/>
        <v>3950.8291640228108</v>
      </c>
    </row>
    <row r="98" spans="1:7" x14ac:dyDescent="0.2">
      <c r="A98" s="222"/>
      <c r="B98" s="39" t="str">
        <f t="shared" si="16"/>
        <v>November</v>
      </c>
      <c r="C98" s="205">
        <f>IF(ISBLANK('Electric old'!G98),"-",'Electric old'!G98)</f>
        <v>110.10690000000001</v>
      </c>
      <c r="D98" s="205">
        <f>IF(ISBLANK(2/24*('Gas Old'!$H11+'Gas Old'!$H20)),"-",2/24*('Gas Old'!$H11+'Gas Old'!$H20))</f>
        <v>379.0139416666666</v>
      </c>
      <c r="E98" s="205">
        <f>IF(ISBLANK('Water Old'!G98),"-",'Water Old'!G98)</f>
        <v>57.989812799999996</v>
      </c>
      <c r="F98" s="205">
        <f t="shared" si="17"/>
        <v>547.11065446666657</v>
      </c>
      <c r="G98" s="207">
        <f t="shared" si="18"/>
        <v>4497.9398184894771</v>
      </c>
    </row>
    <row r="99" spans="1:7" x14ac:dyDescent="0.2">
      <c r="A99" s="222"/>
      <c r="B99" s="39" t="str">
        <f t="shared" si="16"/>
        <v>December</v>
      </c>
      <c r="C99" s="205">
        <f>IF(ISBLANK('Electric old'!G99),"-",'Electric old'!G99)</f>
        <v>102.4159050401322</v>
      </c>
      <c r="D99" s="205">
        <f>IF(ISBLANK(2/24*('Gas Old'!$H12+'Gas Old'!$H21)),"-",2/24*('Gas Old'!$H12+'Gas Old'!$H21))</f>
        <v>469.71095318246381</v>
      </c>
      <c r="E99" s="205">
        <f>IF(ISBLANK('Water Old'!G99),"-",'Water Old'!G99)</f>
        <v>38.531847636878098</v>
      </c>
      <c r="F99" s="205">
        <f t="shared" si="17"/>
        <v>610.65870585947403</v>
      </c>
      <c r="G99" s="207">
        <f t="shared" si="18"/>
        <v>5108.5985243489513</v>
      </c>
    </row>
    <row r="100" spans="1:7" x14ac:dyDescent="0.2">
      <c r="A100" s="221" t="s">
        <v>95</v>
      </c>
      <c r="B100" s="39" t="str">
        <f t="shared" si="16"/>
        <v>January</v>
      </c>
      <c r="C100" s="205">
        <f>IF(ISBLANK('Electric old'!G100),"-",'Electric old'!G100)</f>
        <v>205.34301343093256</v>
      </c>
      <c r="D100" s="206" t="s">
        <v>112</v>
      </c>
      <c r="E100" s="205" t="str">
        <f>IF(ISBLANK('Water Old'!G100),"-",'Water Old'!G100)</f>
        <v>-</v>
      </c>
      <c r="F100" s="206" t="s">
        <v>112</v>
      </c>
      <c r="G100" s="206" t="s">
        <v>112</v>
      </c>
    </row>
    <row r="101" spans="1:7" x14ac:dyDescent="0.2">
      <c r="A101" s="222"/>
      <c r="B101" s="39" t="str">
        <f t="shared" si="16"/>
        <v>February</v>
      </c>
      <c r="C101" s="205">
        <f>IF(ISBLANK('Electric old'!G101),"-",'Electric old'!G101)</f>
        <v>453.75271588038237</v>
      </c>
      <c r="D101" s="206" t="s">
        <v>112</v>
      </c>
      <c r="E101" s="205" t="str">
        <f>IF(ISBLANK('Water Old'!G101),"-",'Water Old'!G101)</f>
        <v>-</v>
      </c>
      <c r="F101" s="206" t="s">
        <v>112</v>
      </c>
      <c r="G101" s="206" t="s">
        <v>112</v>
      </c>
    </row>
    <row r="102" spans="1:7" x14ac:dyDescent="0.2">
      <c r="A102" s="222"/>
      <c r="B102" s="39" t="str">
        <f t="shared" si="16"/>
        <v>March</v>
      </c>
      <c r="C102" s="205">
        <f>IF(ISBLANK('Electric old'!G102),"-",'Electric old'!G102)</f>
        <v>313.60055999999997</v>
      </c>
      <c r="D102" s="206" t="s">
        <v>112</v>
      </c>
      <c r="E102" s="205" t="str">
        <f>IF(ISBLANK('Water Old'!G102),"-",'Water Old'!G102)</f>
        <v>-</v>
      </c>
      <c r="F102" s="205">
        <f t="shared" ref="F102:F111" si="19">SUM(C102:E102)</f>
        <v>313.60055999999997</v>
      </c>
      <c r="G102" s="207">
        <f>F102</f>
        <v>313.60055999999997</v>
      </c>
    </row>
    <row r="103" spans="1:7" x14ac:dyDescent="0.2">
      <c r="A103" s="222"/>
      <c r="B103" s="39" t="str">
        <f t="shared" si="16"/>
        <v>April</v>
      </c>
      <c r="C103" s="205">
        <f>IF(ISBLANK('Electric old'!G103),"-",'Electric old'!G103)</f>
        <v>362.4957</v>
      </c>
      <c r="D103" s="205">
        <f>IF(ISBLANK(1/24*('Gas Old'!$H$4+'Gas Old'!$H$13)),"-",1/24*('Gas Old'!$H$4+'Gas Old'!$H$13))</f>
        <v>236.45225999999997</v>
      </c>
      <c r="E103" s="205">
        <f>IF(ISBLANK('Water Old'!G103),"-",'Water Old'!G103)</f>
        <v>47.300770269000004</v>
      </c>
      <c r="F103" s="205">
        <f t="shared" si="19"/>
        <v>646.24873026900002</v>
      </c>
      <c r="G103" s="207">
        <f t="shared" ref="G103:G111" si="20">F103+G102</f>
        <v>959.84929026899999</v>
      </c>
    </row>
    <row r="104" spans="1:7" x14ac:dyDescent="0.2">
      <c r="A104" s="222"/>
      <c r="B104" s="39" t="str">
        <f t="shared" si="16"/>
        <v>May</v>
      </c>
      <c r="C104" s="205">
        <f>IF(ISBLANK('Electric old'!G104),"-",'Electric old'!G104)</f>
        <v>306.6336</v>
      </c>
      <c r="D104" s="205">
        <f>IF(ISBLANK(1/24*('Gas Old'!$H$5+'Gas Old'!$H$14)),"-",1/24*('Gas Old'!$H$5+'Gas Old'!$H$14))</f>
        <v>154.11650999999998</v>
      </c>
      <c r="E104" s="205">
        <f>IF(ISBLANK('Water Old'!G104),"-",'Water Old'!G104)</f>
        <v>32.0775182387138</v>
      </c>
      <c r="F104" s="205">
        <f t="shared" si="19"/>
        <v>492.82762823871377</v>
      </c>
      <c r="G104" s="207">
        <f t="shared" si="20"/>
        <v>1452.6769185077137</v>
      </c>
    </row>
    <row r="105" spans="1:7" x14ac:dyDescent="0.2">
      <c r="A105" s="222"/>
      <c r="B105" s="39" t="str">
        <f t="shared" si="16"/>
        <v>June</v>
      </c>
      <c r="C105" s="205">
        <f>IF(ISBLANK('Electric old'!G105),"-",'Electric old'!G105)</f>
        <v>101.00856976</v>
      </c>
      <c r="D105" s="205">
        <f>IF(ISBLANK(1/24*('Gas Old'!$H$6+'Gas Old'!$H$15)),"-",1/24*('Gas Old'!$H$6+'Gas Old'!$H$15))</f>
        <v>72.458489999999998</v>
      </c>
      <c r="E105" s="205">
        <f>IF(ISBLANK('Water Old'!G105),"-",'Water Old'!G105)</f>
        <v>0.10571007990719999</v>
      </c>
      <c r="F105" s="205">
        <f t="shared" si="19"/>
        <v>173.57276983990718</v>
      </c>
      <c r="G105" s="207">
        <f t="shared" si="20"/>
        <v>1626.2496883476208</v>
      </c>
    </row>
    <row r="106" spans="1:7" x14ac:dyDescent="0.2">
      <c r="A106" s="222"/>
      <c r="B106" s="39" t="str">
        <f t="shared" si="16"/>
        <v>July</v>
      </c>
      <c r="C106" s="205">
        <f>IF(ISBLANK('Electric old'!G106),"-",'Electric old'!G106)</f>
        <v>179.09238348</v>
      </c>
      <c r="D106" s="205">
        <f>IF(ISBLANK(1/24*('Gas Old'!$H$7+'Gas Old'!$H$16)),"-",1/24*('Gas Old'!$H$7+'Gas Old'!$H$16))</f>
        <v>74.734941666666657</v>
      </c>
      <c r="E106" s="205">
        <f>IF(ISBLANK('Water Old'!G106),"-",'Water Old'!G106)</f>
        <v>23.279350063200003</v>
      </c>
      <c r="F106" s="205">
        <f t="shared" si="19"/>
        <v>277.10667520986664</v>
      </c>
      <c r="G106" s="207">
        <f t="shared" si="20"/>
        <v>1903.3563635574874</v>
      </c>
    </row>
    <row r="107" spans="1:7" x14ac:dyDescent="0.2">
      <c r="A107" s="222"/>
      <c r="B107" s="39" t="str">
        <f t="shared" si="16"/>
        <v>August</v>
      </c>
      <c r="C107" s="205">
        <f>IF(ISBLANK('Electric old'!G107),"-",'Electric old'!G107)</f>
        <v>277.79795999999999</v>
      </c>
      <c r="D107" s="205">
        <f>IF(ISBLANK(1/24*('Gas Old'!$H$8+'Gas Old'!$H$17)),"-",1/24*('Gas Old'!$H$8+'Gas Old'!$H$17))</f>
        <v>92.217714583333319</v>
      </c>
      <c r="E107" s="205">
        <f>IF(ISBLANK('Water Old'!G107),"-",'Water Old'!G107)</f>
        <v>227.88460804127331</v>
      </c>
      <c r="F107" s="205">
        <f t="shared" si="19"/>
        <v>597.90028262460658</v>
      </c>
      <c r="G107" s="207">
        <f t="shared" si="20"/>
        <v>2501.2566461820938</v>
      </c>
    </row>
    <row r="108" spans="1:7" x14ac:dyDescent="0.2">
      <c r="A108" s="222"/>
      <c r="B108" s="39" t="str">
        <f t="shared" si="16"/>
        <v>September</v>
      </c>
      <c r="C108" s="205">
        <f>IF(ISBLANK('Electric old'!G108),"-",'Electric old'!G108)</f>
        <v>350.94480000000004</v>
      </c>
      <c r="D108" s="205">
        <f>IF(ISBLANK(1/24*('Gas Old'!$H9+'Gas Old'!$H18)),"-",1/24*('Gas Old'!$H9+'Gas Old'!$H18))</f>
        <v>132.07155</v>
      </c>
      <c r="E108" s="205">
        <f>IF(ISBLANK('Water Old'!G108),"-",'Water Old'!G108)</f>
        <v>36.933165634887601</v>
      </c>
      <c r="F108" s="205">
        <f t="shared" si="19"/>
        <v>519.94951563488769</v>
      </c>
      <c r="G108" s="207">
        <f t="shared" si="20"/>
        <v>3021.2061618169814</v>
      </c>
    </row>
    <row r="109" spans="1:7" x14ac:dyDescent="0.2">
      <c r="A109" s="222"/>
      <c r="B109" s="39" t="str">
        <f t="shared" si="16"/>
        <v>October</v>
      </c>
      <c r="C109" s="205">
        <f>IF(ISBLANK('Electric old'!G109),"-",'Electric old'!G109)</f>
        <v>472.70080000000002</v>
      </c>
      <c r="D109" s="205">
        <f>IF(ISBLANK(1/24*('Gas Old'!$H10+'Gas Old'!$H19)),"-",1/24*('Gas Old'!$H10+'Gas Old'!$H19))</f>
        <v>197.73962499999996</v>
      </c>
      <c r="E109" s="205">
        <f>IF(ISBLANK('Water Old'!G109),"-",'Water Old'!G109)</f>
        <v>54.819361966506797</v>
      </c>
      <c r="F109" s="205">
        <f t="shared" si="19"/>
        <v>725.25978696650679</v>
      </c>
      <c r="G109" s="207">
        <f t="shared" si="20"/>
        <v>3746.4659487834883</v>
      </c>
    </row>
    <row r="110" spans="1:7" x14ac:dyDescent="0.2">
      <c r="A110" s="222"/>
      <c r="B110" s="39" t="str">
        <f t="shared" si="16"/>
        <v>November</v>
      </c>
      <c r="C110" s="205">
        <f>IF(ISBLANK('Electric old'!G110),"-",'Electric old'!G110)</f>
        <v>171.45600000000002</v>
      </c>
      <c r="D110" s="205">
        <f>IF(ISBLANK(1/24*('Gas Old'!$H11+'Gas Old'!$H20)),"-",1/24*('Gas Old'!$H11+'Gas Old'!$H20))</f>
        <v>189.5069708333333</v>
      </c>
      <c r="E110" s="205">
        <f>IF(ISBLANK('Water Old'!G110),"-",'Water Old'!G110)</f>
        <v>21.8617008071813</v>
      </c>
      <c r="F110" s="205">
        <f t="shared" si="19"/>
        <v>382.82467164051462</v>
      </c>
      <c r="G110" s="207">
        <f t="shared" si="20"/>
        <v>4129.2906204240026</v>
      </c>
    </row>
    <row r="111" spans="1:7" x14ac:dyDescent="0.2">
      <c r="A111" s="222"/>
      <c r="B111" s="39" t="str">
        <f t="shared" si="16"/>
        <v>December</v>
      </c>
      <c r="C111" s="205">
        <f>IF(ISBLANK('Electric old'!G111),"-",'Electric old'!G111)</f>
        <v>156.48134295325778</v>
      </c>
      <c r="D111" s="205">
        <f>IF(ISBLANK(1/24*('Gas Old'!$H12+'Gas Old'!$H21)),"-",1/24*('Gas Old'!$H12+'Gas Old'!$H21))</f>
        <v>234.85547659123191</v>
      </c>
      <c r="E111" s="205">
        <f>IF(ISBLANK('Water Old'!G111),"-",'Water Old'!G111)</f>
        <v>14.897062977286099</v>
      </c>
      <c r="F111" s="205">
        <f t="shared" si="19"/>
        <v>406.2338825217758</v>
      </c>
      <c r="G111" s="207">
        <f t="shared" si="20"/>
        <v>4535.5245029457783</v>
      </c>
    </row>
    <row r="112" spans="1:7" x14ac:dyDescent="0.2">
      <c r="A112" s="221" t="s">
        <v>21</v>
      </c>
      <c r="B112" s="39" t="str">
        <f t="shared" ref="B112:B143" si="21">B100</f>
        <v>January</v>
      </c>
      <c r="C112" s="205">
        <f>IF(ISBLANK('Electric old'!G112),"-",'Electric old'!G112)</f>
        <v>213.67246956924964</v>
      </c>
      <c r="D112" s="206" t="s">
        <v>112</v>
      </c>
      <c r="E112" s="205" t="str">
        <f>IF(ISBLANK('Water Old'!G112),"-",'Water Old'!G112)</f>
        <v>-</v>
      </c>
      <c r="F112" s="206" t="s">
        <v>112</v>
      </c>
      <c r="G112" s="206" t="s">
        <v>112</v>
      </c>
    </row>
    <row r="113" spans="1:15" x14ac:dyDescent="0.2">
      <c r="A113" s="222"/>
      <c r="B113" s="39" t="str">
        <f t="shared" si="21"/>
        <v>February</v>
      </c>
      <c r="C113" s="205">
        <f>IF(ISBLANK('Electric old'!G113),"-",'Electric old'!G113)</f>
        <v>431.96178647346215</v>
      </c>
      <c r="D113" s="206" t="s">
        <v>112</v>
      </c>
      <c r="E113" s="205" t="str">
        <f>IF(ISBLANK('Water Old'!G113),"-",'Water Old'!G113)</f>
        <v>-</v>
      </c>
      <c r="F113" s="206" t="s">
        <v>112</v>
      </c>
      <c r="G113" s="206" t="s">
        <v>112</v>
      </c>
    </row>
    <row r="114" spans="1:15" x14ac:dyDescent="0.2">
      <c r="A114" s="222"/>
      <c r="B114" s="39" t="str">
        <f t="shared" si="21"/>
        <v>March</v>
      </c>
      <c r="C114" s="205">
        <f>IF(ISBLANK('Electric old'!G114),"-",'Electric old'!G114)</f>
        <v>287.83047999999997</v>
      </c>
      <c r="D114" s="206" t="s">
        <v>112</v>
      </c>
      <c r="E114" s="205" t="str">
        <f>IF(ISBLANK('Water Old'!G114),"-",'Water Old'!G114)</f>
        <v>-</v>
      </c>
      <c r="F114" s="205">
        <f t="shared" ref="F114:F123" si="22">SUM(C114:E114)</f>
        <v>287.83047999999997</v>
      </c>
      <c r="G114" s="207">
        <f>F114</f>
        <v>287.83047999999997</v>
      </c>
    </row>
    <row r="115" spans="1:15" x14ac:dyDescent="0.2">
      <c r="A115" s="222"/>
      <c r="B115" s="39" t="str">
        <f t="shared" si="21"/>
        <v>April</v>
      </c>
      <c r="C115" s="205">
        <f>IF(ISBLANK('Electric old'!G115),"-",'Electric old'!G115)</f>
        <v>361.05804000000001</v>
      </c>
      <c r="D115" s="205">
        <f>IF(ISBLANK(2/24*('Gas Old'!$H$4+'Gas Old'!$H$13)),"-",2/24*('Gas Old'!$H$4+'Gas Old'!$H$13))</f>
        <v>472.90451999999993</v>
      </c>
      <c r="E115" s="205">
        <f>IF(ISBLANK('Water Old'!G115),"-",'Water Old'!G115)</f>
        <v>64.200084136000001</v>
      </c>
      <c r="F115" s="205">
        <f t="shared" si="22"/>
        <v>898.16264413599993</v>
      </c>
      <c r="G115" s="207">
        <f t="shared" ref="G115:G123" si="23">F115+G114</f>
        <v>1185.993124136</v>
      </c>
    </row>
    <row r="116" spans="1:15" x14ac:dyDescent="0.2">
      <c r="A116" s="222"/>
      <c r="B116" s="39" t="str">
        <f t="shared" si="21"/>
        <v>May</v>
      </c>
      <c r="C116" s="205">
        <f>IF(ISBLANK('Electric old'!G116),"-",'Electric old'!G116)</f>
        <v>337.59935999999999</v>
      </c>
      <c r="D116" s="205">
        <f>IF(ISBLANK(2/24*('Gas Old'!$H$5+'Gas Old'!$H$14)),"-",2/24*('Gas Old'!$H$5+'Gas Old'!$H$14))</f>
        <v>308.23301999999995</v>
      </c>
      <c r="E116" s="205">
        <f>IF(ISBLANK('Water Old'!G116),"-",'Water Old'!G116)</f>
        <v>54.265040184630394</v>
      </c>
      <c r="F116" s="205">
        <f t="shared" si="22"/>
        <v>700.09742018463032</v>
      </c>
      <c r="G116" s="207">
        <f t="shared" si="23"/>
        <v>1886.0905443206302</v>
      </c>
    </row>
    <row r="117" spans="1:15" x14ac:dyDescent="0.2">
      <c r="A117" s="222"/>
      <c r="B117" s="39" t="str">
        <f t="shared" si="21"/>
        <v>June</v>
      </c>
      <c r="C117" s="205">
        <f>IF(ISBLANK('Electric old'!G117),"-",'Electric old'!G117)</f>
        <v>101.00856976</v>
      </c>
      <c r="D117" s="205">
        <f>IF(ISBLANK(2/24*('Gas Old'!$H$6+'Gas Old'!$H$15)),"-",2/24*('Gas Old'!$H$6+'Gas Old'!$H$15))</f>
        <v>144.91698</v>
      </c>
      <c r="E117" s="205">
        <f>IF(ISBLANK('Water Old'!G117),"-",'Water Old'!G117)</f>
        <v>0.35188423859519996</v>
      </c>
      <c r="F117" s="205">
        <f t="shared" si="22"/>
        <v>246.2774339985952</v>
      </c>
      <c r="G117" s="207">
        <f t="shared" si="23"/>
        <v>2132.3679783192256</v>
      </c>
    </row>
    <row r="118" spans="1:15" x14ac:dyDescent="0.2">
      <c r="A118" s="222"/>
      <c r="B118" s="39" t="str">
        <f t="shared" si="21"/>
        <v>July</v>
      </c>
      <c r="C118" s="205">
        <f>IF(ISBLANK('Electric old'!G118),"-",'Electric old'!G118)</f>
        <v>233.66959456000001</v>
      </c>
      <c r="D118" s="205">
        <f>IF(ISBLANK(2/24*('Gas Old'!$H$7+'Gas Old'!$H$16)),"-",2/24*('Gas Old'!$H$7+'Gas Old'!$H$16))</f>
        <v>149.46988333333331</v>
      </c>
      <c r="E118" s="205">
        <f>IF(ISBLANK('Water Old'!G118),"-",'Water Old'!G118)</f>
        <v>8.2463894348799993</v>
      </c>
      <c r="F118" s="205">
        <f t="shared" si="22"/>
        <v>391.38586732821329</v>
      </c>
      <c r="G118" s="207">
        <f t="shared" si="23"/>
        <v>2523.753845647439</v>
      </c>
    </row>
    <row r="119" spans="1:15" x14ac:dyDescent="0.2">
      <c r="A119" s="222"/>
      <c r="B119" s="39" t="str">
        <f t="shared" si="21"/>
        <v>August</v>
      </c>
      <c r="C119" s="205">
        <f>IF(ISBLANK('Electric old'!G119),"-",'Electric old'!G119)</f>
        <v>253.33704</v>
      </c>
      <c r="D119" s="205">
        <f>IF(ISBLANK(2/24*('Gas Old'!$H$8+'Gas Old'!$H$17)),"-",2/24*('Gas Old'!$H$8+'Gas Old'!$H$17))</f>
        <v>184.43542916666664</v>
      </c>
      <c r="E119" s="205">
        <f>IF(ISBLANK('Water Old'!G119),"-",'Water Old'!G119)</f>
        <v>95.497878815336406</v>
      </c>
      <c r="F119" s="205">
        <f t="shared" si="22"/>
        <v>533.27034798200305</v>
      </c>
      <c r="G119" s="207">
        <f t="shared" si="23"/>
        <v>3057.0241936294419</v>
      </c>
    </row>
    <row r="120" spans="1:15" x14ac:dyDescent="0.2">
      <c r="A120" s="222"/>
      <c r="B120" s="39" t="str">
        <f t="shared" si="21"/>
        <v>September</v>
      </c>
      <c r="C120" s="205">
        <f>IF(ISBLANK('Electric old'!G120),"-",'Electric old'!G120)</f>
        <v>139.66560000000001</v>
      </c>
      <c r="D120" s="205">
        <f>IF(ISBLANK(2/24*('Gas Old'!$H9+'Gas Old'!$H18)),"-",2/24*('Gas Old'!$H9+'Gas Old'!$H18))</f>
        <v>264.1431</v>
      </c>
      <c r="E120" s="205">
        <f>IF(ISBLANK('Water Old'!G120),"-",'Water Old'!G120)</f>
        <v>79.669031153368522</v>
      </c>
      <c r="F120" s="205">
        <f t="shared" si="22"/>
        <v>483.47773115336855</v>
      </c>
      <c r="G120" s="207">
        <f t="shared" si="23"/>
        <v>3540.5019247828104</v>
      </c>
    </row>
    <row r="121" spans="1:15" x14ac:dyDescent="0.2">
      <c r="A121" s="222"/>
      <c r="B121" s="39" t="str">
        <f t="shared" si="21"/>
        <v>October</v>
      </c>
      <c r="C121" s="205">
        <f>IF(ISBLANK('Electric old'!G121),"-",'Electric old'!G121)</f>
        <v>114.85760000000001</v>
      </c>
      <c r="D121" s="205">
        <f>IF(ISBLANK(2/24*('Gas Old'!$H10+'Gas Old'!$H19)),"-",2/24*('Gas Old'!$H10+'Gas Old'!$H19))</f>
        <v>395.47924999999992</v>
      </c>
      <c r="E121" s="205">
        <f>IF(ISBLANK('Water Old'!G121),"-",'Water Old'!G121)</f>
        <v>118.98357424000001</v>
      </c>
      <c r="F121" s="205">
        <f t="shared" si="22"/>
        <v>629.32042423999997</v>
      </c>
      <c r="G121" s="207">
        <f t="shared" si="23"/>
        <v>4169.8223490228102</v>
      </c>
    </row>
    <row r="122" spans="1:15" x14ac:dyDescent="0.2">
      <c r="A122" s="222"/>
      <c r="B122" s="39" t="str">
        <f t="shared" si="21"/>
        <v>November</v>
      </c>
      <c r="C122" s="205">
        <f>IF(ISBLANK('Electric old'!G122),"-",'Electric old'!G122)</f>
        <v>36.255800000000001</v>
      </c>
      <c r="D122" s="205">
        <f>IF(ISBLANK(2/24*('Gas Old'!$H11+'Gas Old'!$H20)),"-",2/24*('Gas Old'!$H11+'Gas Old'!$H20))</f>
        <v>379.0139416666666</v>
      </c>
      <c r="E122" s="205">
        <f>IF(ISBLANK('Water Old'!G122),"-",'Water Old'!G122)</f>
        <v>57.989812799999996</v>
      </c>
      <c r="F122" s="205">
        <f t="shared" si="22"/>
        <v>473.2595544666666</v>
      </c>
      <c r="G122" s="207">
        <f t="shared" si="23"/>
        <v>4643.0819034894766</v>
      </c>
    </row>
    <row r="123" spans="1:15" x14ac:dyDescent="0.2">
      <c r="A123" s="222"/>
      <c r="B123" s="39" t="str">
        <f t="shared" si="21"/>
        <v>December</v>
      </c>
      <c r="C123" s="205">
        <f>IF(ISBLANK('Electric old'!G123),"-",'Electric old'!G123)</f>
        <v>57.331135505193579</v>
      </c>
      <c r="D123" s="205">
        <f>IF(ISBLANK(2/24*('Gas Old'!$H12+'Gas Old'!$H21)),"-",2/24*('Gas Old'!$H12+'Gas Old'!$H21))</f>
        <v>469.71095318246381</v>
      </c>
      <c r="E123" s="205">
        <f>IF(ISBLANK('Water Old'!G123),"-",'Water Old'!G123)</f>
        <v>38.531847636878098</v>
      </c>
      <c r="F123" s="205">
        <f t="shared" si="22"/>
        <v>565.57393632453545</v>
      </c>
      <c r="G123" s="207">
        <f t="shared" si="23"/>
        <v>5208.6558398140123</v>
      </c>
      <c r="I123" s="40"/>
      <c r="J123" s="41"/>
      <c r="K123" s="42"/>
      <c r="L123" s="42"/>
      <c r="M123" s="43"/>
      <c r="N123" s="43"/>
      <c r="O123" s="43"/>
    </row>
    <row r="124" spans="1:15" ht="12.75" customHeight="1" x14ac:dyDescent="0.2">
      <c r="A124" s="221" t="s">
        <v>96</v>
      </c>
      <c r="B124" s="39" t="str">
        <f t="shared" si="21"/>
        <v>January</v>
      </c>
      <c r="C124" s="205">
        <f>IF(ISBLANK('Electric old'!G124),"-",'Electric old'!G124)</f>
        <v>444.26688687213289</v>
      </c>
      <c r="D124" s="206" t="s">
        <v>112</v>
      </c>
      <c r="E124" s="205" t="str">
        <f>IF(ISBLANK('Water Old'!G124),"-",'Water Old'!G124)</f>
        <v>-</v>
      </c>
      <c r="F124" s="206" t="s">
        <v>112</v>
      </c>
      <c r="G124" s="206" t="s">
        <v>112</v>
      </c>
      <c r="J124" s="44"/>
      <c r="K124" s="209"/>
      <c r="L124" s="209"/>
      <c r="M124" s="209"/>
      <c r="N124" s="209"/>
      <c r="O124" s="209"/>
    </row>
    <row r="125" spans="1:15" x14ac:dyDescent="0.2">
      <c r="A125" s="222"/>
      <c r="B125" s="39" t="str">
        <f t="shared" si="21"/>
        <v>February</v>
      </c>
      <c r="C125" s="205">
        <f>IF(ISBLANK('Electric old'!G125),"-",'Electric old'!G125)</f>
        <v>912.90495409168295</v>
      </c>
      <c r="D125" s="206" t="s">
        <v>112</v>
      </c>
      <c r="E125" s="205" t="str">
        <f>IF(ISBLANK('Water Old'!G125),"-",'Water Old'!G125)</f>
        <v>-</v>
      </c>
      <c r="F125" s="206" t="s">
        <v>112</v>
      </c>
      <c r="G125" s="206" t="s">
        <v>112</v>
      </c>
      <c r="J125" s="44"/>
      <c r="K125" s="209"/>
      <c r="L125" s="209"/>
      <c r="M125" s="209"/>
      <c r="N125" s="209"/>
      <c r="O125" s="209"/>
    </row>
    <row r="126" spans="1:15" x14ac:dyDescent="0.2">
      <c r="A126" s="222"/>
      <c r="B126" s="39" t="str">
        <f t="shared" si="21"/>
        <v>March</v>
      </c>
      <c r="C126" s="205">
        <f>IF(ISBLANK('Electric old'!G126),"-",'Electric old'!G126)</f>
        <v>618.77256</v>
      </c>
      <c r="D126" s="206" t="s">
        <v>112</v>
      </c>
      <c r="E126" s="205" t="str">
        <f>IF(ISBLANK('Water Old'!G126),"-",'Water Old'!G126)</f>
        <v>-</v>
      </c>
      <c r="F126" s="205">
        <f t="shared" ref="F126:F135" si="24">SUM(C126:E126)</f>
        <v>618.77256</v>
      </c>
      <c r="G126" s="207">
        <f>F126</f>
        <v>618.77256</v>
      </c>
      <c r="J126" s="44"/>
      <c r="K126" s="209"/>
      <c r="L126" s="209"/>
      <c r="M126" s="209"/>
      <c r="N126" s="209"/>
      <c r="O126" s="209"/>
    </row>
    <row r="127" spans="1:15" x14ac:dyDescent="0.2">
      <c r="A127" s="222"/>
      <c r="B127" s="39" t="str">
        <f t="shared" si="21"/>
        <v>April</v>
      </c>
      <c r="C127" s="205">
        <f>IF(ISBLANK('Electric old'!G127),"-",'Electric old'!G127)</f>
        <v>697.67586000000006</v>
      </c>
      <c r="D127" s="205">
        <f>IF(ISBLANK(2/24*('Gas Old'!$H$4+'Gas Old'!$H$13)),"-",2/24*('Gas Old'!$H$4+'Gas Old'!$H$13))</f>
        <v>472.90451999999993</v>
      </c>
      <c r="E127" s="205">
        <f>IF(ISBLANK('Water Old'!G127),"-",'Water Old'!G127)</f>
        <v>64.200084136000001</v>
      </c>
      <c r="F127" s="205">
        <f t="shared" si="24"/>
        <v>1234.7804641359999</v>
      </c>
      <c r="G127" s="207">
        <f t="shared" ref="G127:G135" si="25">F127+G126</f>
        <v>1853.5530241359997</v>
      </c>
      <c r="J127" s="44"/>
      <c r="K127" s="209"/>
      <c r="L127" s="209"/>
      <c r="M127" s="209"/>
      <c r="N127" s="209"/>
      <c r="O127" s="209"/>
    </row>
    <row r="128" spans="1:15" x14ac:dyDescent="0.2">
      <c r="A128" s="222"/>
      <c r="B128" s="39" t="str">
        <f t="shared" si="21"/>
        <v>May</v>
      </c>
      <c r="C128" s="205">
        <f>IF(ISBLANK('Electric old'!G128),"-",'Electric old'!G128)</f>
        <v>578.55168000000003</v>
      </c>
      <c r="D128" s="205">
        <f>IF(ISBLANK(2/24*('Gas Old'!$H$5+'Gas Old'!$H$14)),"-",2/24*('Gas Old'!$H$5+'Gas Old'!$H$14))</f>
        <v>308.23301999999995</v>
      </c>
      <c r="E128" s="205">
        <f>IF(ISBLANK('Water Old'!G128),"-",'Water Old'!G128)</f>
        <v>54.265040184630394</v>
      </c>
      <c r="F128" s="205">
        <f t="shared" si="24"/>
        <v>941.04974018463031</v>
      </c>
      <c r="G128" s="207">
        <f t="shared" si="25"/>
        <v>2794.6027643206298</v>
      </c>
      <c r="J128" s="44"/>
      <c r="K128" s="209"/>
      <c r="L128" s="209"/>
      <c r="M128" s="209"/>
      <c r="N128" s="209"/>
      <c r="O128" s="209"/>
    </row>
    <row r="129" spans="1:15" x14ac:dyDescent="0.2">
      <c r="A129" s="222"/>
      <c r="B129" s="39" t="str">
        <f t="shared" si="21"/>
        <v>June</v>
      </c>
      <c r="C129" s="205">
        <f>IF(ISBLANK('Electric old'!G129),"-",'Electric old'!G129)</f>
        <v>230.76036156000001</v>
      </c>
      <c r="D129" s="205">
        <f>IF(ISBLANK(2/24*('Gas Old'!$H$6+'Gas Old'!$H$15)),"-",2/24*('Gas Old'!$H$6+'Gas Old'!$H$15))</f>
        <v>144.91698</v>
      </c>
      <c r="E129" s="205">
        <f>IF(ISBLANK('Water Old'!G129),"-",'Water Old'!G129)</f>
        <v>0.35188423859519996</v>
      </c>
      <c r="F129" s="205">
        <f t="shared" si="24"/>
        <v>376.02922579859518</v>
      </c>
      <c r="G129" s="207">
        <f t="shared" si="25"/>
        <v>3170.6319901192251</v>
      </c>
      <c r="J129" s="44"/>
      <c r="K129" s="209"/>
      <c r="L129" s="209"/>
      <c r="M129" s="209"/>
      <c r="N129" s="209"/>
      <c r="O129" s="209"/>
    </row>
    <row r="130" spans="1:15" x14ac:dyDescent="0.2">
      <c r="A130" s="222"/>
      <c r="B130" s="39" t="str">
        <f t="shared" si="21"/>
        <v>July</v>
      </c>
      <c r="C130" s="205">
        <f>IF(ISBLANK('Electric old'!G130),"-",'Electric old'!G130)</f>
        <v>401.59052331999999</v>
      </c>
      <c r="D130" s="205">
        <f>IF(ISBLANK(2/24*('Gas Old'!$H$7+'Gas Old'!$H$16)),"-",2/24*('Gas Old'!$H$7+'Gas Old'!$H$16))</f>
        <v>149.46988333333331</v>
      </c>
      <c r="E130" s="205">
        <f>IF(ISBLANK('Water Old'!G130),"-",'Water Old'!G130)</f>
        <v>8.2463894348799993</v>
      </c>
      <c r="F130" s="205">
        <f t="shared" si="24"/>
        <v>559.30679608821333</v>
      </c>
      <c r="G130" s="207">
        <f t="shared" si="25"/>
        <v>3729.9387862074382</v>
      </c>
      <c r="J130" s="44"/>
      <c r="K130" s="209"/>
      <c r="L130" s="209"/>
      <c r="M130" s="209"/>
      <c r="N130" s="209"/>
      <c r="O130" s="209"/>
    </row>
    <row r="131" spans="1:15" x14ac:dyDescent="0.2">
      <c r="A131" s="222"/>
      <c r="B131" s="39" t="str">
        <f t="shared" si="21"/>
        <v>August</v>
      </c>
      <c r="C131" s="205">
        <f>IF(ISBLANK('Electric old'!G131),"-",'Electric old'!G131)</f>
        <v>616.11659999999995</v>
      </c>
      <c r="D131" s="205">
        <f>IF(ISBLANK(2/24*('Gas Old'!$H$8+'Gas Old'!$H$17)),"-",2/24*('Gas Old'!$H$8+'Gas Old'!$H$17))</f>
        <v>184.43542916666664</v>
      </c>
      <c r="E131" s="205">
        <f>IF(ISBLANK('Water Old'!G131),"-",'Water Old'!G131)</f>
        <v>95.497878815336406</v>
      </c>
      <c r="F131" s="205">
        <f t="shared" si="24"/>
        <v>896.04990798200299</v>
      </c>
      <c r="G131" s="207">
        <f t="shared" si="25"/>
        <v>4625.988694189441</v>
      </c>
      <c r="J131" s="44"/>
      <c r="K131" s="209"/>
      <c r="L131" s="209"/>
      <c r="M131" s="209"/>
      <c r="N131" s="209"/>
      <c r="O131" s="209"/>
    </row>
    <row r="132" spans="1:15" x14ac:dyDescent="0.2">
      <c r="A132" s="222"/>
      <c r="B132" s="39" t="str">
        <f t="shared" si="21"/>
        <v>September</v>
      </c>
      <c r="C132" s="205">
        <f>IF(ISBLANK('Electric old'!G132),"-",'Electric old'!G132)</f>
        <v>432.09840000000003</v>
      </c>
      <c r="D132" s="205">
        <f>IF(ISBLANK(2/24*('Gas Old'!$H9+'Gas Old'!$H18)),"-",2/24*('Gas Old'!$H9+'Gas Old'!$H18))</f>
        <v>264.1431</v>
      </c>
      <c r="E132" s="205">
        <f>IF(ISBLANK('Water Old'!G132),"-",'Water Old'!G132)</f>
        <v>79.669031153368522</v>
      </c>
      <c r="F132" s="205">
        <f t="shared" si="24"/>
        <v>775.91053115336865</v>
      </c>
      <c r="G132" s="207">
        <f t="shared" si="25"/>
        <v>5401.8992253428096</v>
      </c>
      <c r="J132" s="44"/>
      <c r="K132" s="209"/>
      <c r="L132" s="209"/>
      <c r="M132" s="209"/>
      <c r="N132" s="209"/>
      <c r="O132" s="209"/>
    </row>
    <row r="133" spans="1:15" x14ac:dyDescent="0.2">
      <c r="A133" s="222"/>
      <c r="B133" s="39" t="str">
        <f t="shared" si="21"/>
        <v>October</v>
      </c>
      <c r="C133" s="205">
        <f>IF(ISBLANK('Electric old'!G133),"-",'Electric old'!G133)</f>
        <v>486.54320000000001</v>
      </c>
      <c r="D133" s="205">
        <f>IF(ISBLANK(2/24*('Gas Old'!$H10+'Gas Old'!$H19)),"-",2/24*('Gas Old'!$H10+'Gas Old'!$H19))</f>
        <v>395.47924999999992</v>
      </c>
      <c r="E133" s="205">
        <f>IF(ISBLANK('Water Old'!G133),"-",'Water Old'!G133)</f>
        <v>118.98357424000001</v>
      </c>
      <c r="F133" s="205">
        <f t="shared" si="24"/>
        <v>1001.00602424</v>
      </c>
      <c r="G133" s="207">
        <f t="shared" si="25"/>
        <v>6402.9052495828091</v>
      </c>
      <c r="J133" s="44"/>
      <c r="K133" s="209"/>
      <c r="L133" s="209"/>
      <c r="M133" s="209"/>
      <c r="N133" s="209"/>
      <c r="O133" s="209"/>
    </row>
    <row r="134" spans="1:15" x14ac:dyDescent="0.2">
      <c r="A134" s="222"/>
      <c r="B134" s="39" t="str">
        <f t="shared" si="21"/>
        <v>November</v>
      </c>
      <c r="C134" s="205">
        <f>IF(ISBLANK('Electric old'!G134),"-",'Electric old'!G134)</f>
        <v>218.07060000000001</v>
      </c>
      <c r="D134" s="205">
        <f>IF(ISBLANK(2/24*('Gas Old'!$H11+'Gas Old'!$H20)),"-",2/24*('Gas Old'!$H11+'Gas Old'!$H20))</f>
        <v>379.0139416666666</v>
      </c>
      <c r="E134" s="205">
        <f>IF(ISBLANK('Water Old'!G134),"-",'Water Old'!G134)</f>
        <v>57.989812799999996</v>
      </c>
      <c r="F134" s="205">
        <f t="shared" si="24"/>
        <v>655.07435446666659</v>
      </c>
      <c r="G134" s="207">
        <f t="shared" si="25"/>
        <v>7057.9796040494757</v>
      </c>
      <c r="J134" s="44"/>
      <c r="K134" s="209"/>
      <c r="L134" s="209"/>
      <c r="M134" s="209"/>
      <c r="N134" s="209"/>
      <c r="O134" s="209"/>
    </row>
    <row r="135" spans="1:15" x14ac:dyDescent="0.2">
      <c r="A135" s="222"/>
      <c r="B135" s="39" t="str">
        <f t="shared" si="21"/>
        <v>December</v>
      </c>
      <c r="C135" s="205">
        <f>IF(ISBLANK('Electric old'!G135),"-",'Electric old'!G135)</f>
        <v>352.78605376534466</v>
      </c>
      <c r="D135" s="205">
        <f>IF(ISBLANK(2/24*('Gas Old'!$H12+'Gas Old'!$H21)),"-",2/24*('Gas Old'!$H12+'Gas Old'!$H21))</f>
        <v>469.71095318246381</v>
      </c>
      <c r="E135" s="205">
        <f>IF(ISBLANK('Water Old'!G135),"-",'Water Old'!G135)</f>
        <v>38.531847636878098</v>
      </c>
      <c r="F135" s="205">
        <f t="shared" si="24"/>
        <v>861.02885458468654</v>
      </c>
      <c r="G135" s="207">
        <f t="shared" si="25"/>
        <v>7919.0084586341618</v>
      </c>
      <c r="J135" s="44"/>
      <c r="K135" s="209"/>
      <c r="L135" s="209"/>
      <c r="M135" s="209"/>
      <c r="N135" s="209"/>
      <c r="O135" s="209"/>
    </row>
    <row r="136" spans="1:15" x14ac:dyDescent="0.2">
      <c r="A136" s="221" t="s">
        <v>124</v>
      </c>
      <c r="B136" s="39" t="str">
        <f t="shared" si="21"/>
        <v>January</v>
      </c>
      <c r="C136" s="205">
        <f t="shared" ref="C136:E144" si="26">IF(ISERR(C4+C16+C28+C40+C52+C64+C76+C88+C100+C112+C124), "-", (C4+C16+C28+C40+C52+C64+C76+C88+C100+C112+C124))</f>
        <v>4871.1536281734943</v>
      </c>
      <c r="D136" s="205" t="str">
        <f t="shared" si="26"/>
        <v>-</v>
      </c>
      <c r="E136" s="205" t="str">
        <f t="shared" si="26"/>
        <v>-</v>
      </c>
      <c r="F136" s="206" t="s">
        <v>112</v>
      </c>
      <c r="G136" s="206" t="s">
        <v>112</v>
      </c>
    </row>
    <row r="137" spans="1:15" x14ac:dyDescent="0.2">
      <c r="A137" s="222"/>
      <c r="B137" s="39" t="str">
        <f t="shared" si="21"/>
        <v>February</v>
      </c>
      <c r="C137" s="205">
        <f t="shared" si="26"/>
        <v>8663.6299999999992</v>
      </c>
      <c r="D137" s="205" t="str">
        <f t="shared" si="26"/>
        <v>-</v>
      </c>
      <c r="E137" s="205" t="str">
        <f t="shared" si="26"/>
        <v>-</v>
      </c>
      <c r="F137" s="206" t="s">
        <v>112</v>
      </c>
      <c r="G137" s="206" t="s">
        <v>112</v>
      </c>
    </row>
    <row r="138" spans="1:15" x14ac:dyDescent="0.2">
      <c r="A138" s="222"/>
      <c r="B138" s="39" t="str">
        <f t="shared" si="21"/>
        <v>March</v>
      </c>
      <c r="C138" s="205">
        <f t="shared" si="26"/>
        <v>7046.3730399999995</v>
      </c>
      <c r="D138" s="205" t="str">
        <f t="shared" si="26"/>
        <v>-</v>
      </c>
      <c r="E138" s="205" t="str">
        <f t="shared" si="26"/>
        <v>-</v>
      </c>
      <c r="F138" s="205">
        <f t="shared" ref="F138:F147" si="27">SUM(C138:E138)</f>
        <v>7046.3730399999995</v>
      </c>
      <c r="G138" s="207">
        <f>F138</f>
        <v>7046.3730399999995</v>
      </c>
    </row>
    <row r="139" spans="1:15" x14ac:dyDescent="0.2">
      <c r="A139" s="222"/>
      <c r="B139" s="39" t="str">
        <f t="shared" si="21"/>
        <v>April</v>
      </c>
      <c r="C139" s="205">
        <f t="shared" si="26"/>
        <v>7621.6518000000005</v>
      </c>
      <c r="D139" s="205">
        <f t="shared" si="26"/>
        <v>5674.8542399999997</v>
      </c>
      <c r="E139" s="205">
        <f t="shared" si="26"/>
        <v>1042.472482073</v>
      </c>
      <c r="F139" s="205">
        <f t="shared" si="27"/>
        <v>14338.978522073001</v>
      </c>
      <c r="G139" s="207">
        <f t="shared" ref="G139:G147" si="28">F139+G138</f>
        <v>21385.351562073</v>
      </c>
    </row>
    <row r="140" spans="1:15" x14ac:dyDescent="0.2">
      <c r="A140" s="222"/>
      <c r="B140" s="39" t="str">
        <f t="shared" si="21"/>
        <v>May</v>
      </c>
      <c r="C140" s="205">
        <f t="shared" si="26"/>
        <v>6862.3027199999997</v>
      </c>
      <c r="D140" s="205">
        <f t="shared" si="26"/>
        <v>3698.7962399999997</v>
      </c>
      <c r="E140" s="205">
        <f t="shared" si="26"/>
        <v>757.70015146950482</v>
      </c>
      <c r="F140" s="205">
        <f t="shared" si="27"/>
        <v>11318.799111469503</v>
      </c>
      <c r="G140" s="207">
        <f t="shared" si="28"/>
        <v>32704.150673542503</v>
      </c>
    </row>
    <row r="141" spans="1:15" x14ac:dyDescent="0.2">
      <c r="A141" s="222"/>
      <c r="B141" s="39" t="str">
        <f t="shared" si="21"/>
        <v>June</v>
      </c>
      <c r="C141" s="205">
        <f t="shared" si="26"/>
        <v>3578.2402206799998</v>
      </c>
      <c r="D141" s="205">
        <f t="shared" si="26"/>
        <v>1739.0037599999998</v>
      </c>
      <c r="E141" s="205">
        <f t="shared" si="26"/>
        <v>209.24079446836799</v>
      </c>
      <c r="F141" s="205">
        <f t="shared" si="27"/>
        <v>5526.4847751483676</v>
      </c>
      <c r="G141" s="207">
        <f t="shared" si="28"/>
        <v>38230.635448690868</v>
      </c>
    </row>
    <row r="142" spans="1:15" x14ac:dyDescent="0.2">
      <c r="A142" s="222"/>
      <c r="B142" s="39" t="str">
        <f t="shared" si="21"/>
        <v>July</v>
      </c>
      <c r="C142" s="205">
        <f t="shared" si="26"/>
        <v>5168.5433478000004</v>
      </c>
      <c r="D142" s="205">
        <f t="shared" si="26"/>
        <v>1793.6385999999993</v>
      </c>
      <c r="E142" s="205">
        <f t="shared" si="26"/>
        <v>119.06732510680001</v>
      </c>
      <c r="F142" s="205">
        <f t="shared" si="27"/>
        <v>7081.2492729067999</v>
      </c>
      <c r="G142" s="207">
        <f t="shared" si="28"/>
        <v>45311.884721597671</v>
      </c>
    </row>
    <row r="143" spans="1:15" x14ac:dyDescent="0.2">
      <c r="A143" s="222"/>
      <c r="B143" s="39" t="str">
        <f t="shared" si="21"/>
        <v>August</v>
      </c>
      <c r="C143" s="205">
        <f t="shared" si="26"/>
        <v>6826.3192799999997</v>
      </c>
      <c r="D143" s="205">
        <f t="shared" si="26"/>
        <v>2213.2251499999998</v>
      </c>
      <c r="E143" s="205">
        <f t="shared" si="26"/>
        <v>983.95093817357883</v>
      </c>
      <c r="F143" s="205">
        <f t="shared" si="27"/>
        <v>10023.495368173579</v>
      </c>
      <c r="G143" s="207">
        <f t="shared" si="28"/>
        <v>55335.38008977125</v>
      </c>
    </row>
    <row r="144" spans="1:15" x14ac:dyDescent="0.2">
      <c r="A144" s="222"/>
      <c r="B144" s="39" t="str">
        <f t="shared" ref="B144:B175" si="29">B132</f>
        <v>September</v>
      </c>
      <c r="C144" s="205">
        <f t="shared" si="26"/>
        <v>7842.7704000000012</v>
      </c>
      <c r="D144" s="205">
        <f t="shared" si="26"/>
        <v>3169.7172</v>
      </c>
      <c r="E144" s="205">
        <f t="shared" si="26"/>
        <v>862.34126451795203</v>
      </c>
      <c r="F144" s="205">
        <f t="shared" si="27"/>
        <v>11874.828864517953</v>
      </c>
      <c r="G144" s="207">
        <f t="shared" si="28"/>
        <v>67210.208954289206</v>
      </c>
    </row>
    <row r="145" spans="1:7" x14ac:dyDescent="0.2">
      <c r="A145" s="222"/>
      <c r="B145" s="39" t="str">
        <f t="shared" si="29"/>
        <v>October</v>
      </c>
      <c r="C145" s="205">
        <f t="shared" ref="C145:D147" si="30">IF(ISERR(C13+C25+C37+C49+C61+C73+C85+C97+C109+C121+C133), "-", (C13+C25+C37+C49+C61+C73+C85+C97+C109+C121+C133))</f>
        <v>10420.124</v>
      </c>
      <c r="D145" s="205">
        <f t="shared" si="30"/>
        <v>4745.7510000000002</v>
      </c>
      <c r="E145" s="205">
        <v>1110.6367824865069</v>
      </c>
      <c r="F145" s="205">
        <f t="shared" si="27"/>
        <v>16276.511782486506</v>
      </c>
      <c r="G145" s="207">
        <f t="shared" si="28"/>
        <v>83486.720736775707</v>
      </c>
    </row>
    <row r="146" spans="1:7" x14ac:dyDescent="0.2">
      <c r="A146" s="222"/>
      <c r="B146" s="39" t="str">
        <f t="shared" si="29"/>
        <v>November</v>
      </c>
      <c r="C146" s="205">
        <f t="shared" si="30"/>
        <v>3864.1896000000002</v>
      </c>
      <c r="D146" s="205">
        <f t="shared" si="30"/>
        <v>4548.1672999999992</v>
      </c>
      <c r="E146" s="205">
        <v>525.83469120718121</v>
      </c>
      <c r="F146" s="205">
        <f t="shared" si="27"/>
        <v>8938.19159120718</v>
      </c>
      <c r="G146" s="207">
        <f t="shared" si="28"/>
        <v>92424.912327982893</v>
      </c>
    </row>
    <row r="147" spans="1:7" x14ac:dyDescent="0.2">
      <c r="A147" s="222"/>
      <c r="B147" s="39" t="str">
        <f t="shared" si="29"/>
        <v>December</v>
      </c>
      <c r="C147" s="205">
        <f t="shared" si="30"/>
        <v>4218.5555783758264</v>
      </c>
      <c r="D147" s="205">
        <f t="shared" si="30"/>
        <v>5636.531438189566</v>
      </c>
      <c r="E147" s="205">
        <f>IF(ISERR(E15+E27+E39+E51+E63+E75+E87+E99+E111+E123+E135), "-", (E15+E27+E39+E51+E63+E75+E87+E99+E111+E123+E135))</f>
        <v>866.36218262231898</v>
      </c>
      <c r="F147" s="205">
        <f t="shared" si="27"/>
        <v>10721.449199187711</v>
      </c>
      <c r="G147" s="207">
        <f t="shared" si="28"/>
        <v>103146.36152717061</v>
      </c>
    </row>
    <row r="149" spans="1:7" x14ac:dyDescent="0.2">
      <c r="A149" s="74" t="s">
        <v>34</v>
      </c>
    </row>
    <row r="150" spans="1:7" x14ac:dyDescent="0.2">
      <c r="A150" s="74" t="s">
        <v>125</v>
      </c>
    </row>
    <row r="151" spans="1:7" x14ac:dyDescent="0.2">
      <c r="A151" s="72" t="s">
        <v>36</v>
      </c>
    </row>
    <row r="152" spans="1:7" x14ac:dyDescent="0.2">
      <c r="A152" s="72" t="s">
        <v>37</v>
      </c>
    </row>
    <row r="153" spans="1:7" x14ac:dyDescent="0.2">
      <c r="A153" s="72" t="s">
        <v>38</v>
      </c>
    </row>
    <row r="154" spans="1:7" x14ac:dyDescent="0.2">
      <c r="A154" s="72" t="s">
        <v>39</v>
      </c>
    </row>
    <row r="155" spans="1:7" x14ac:dyDescent="0.2">
      <c r="A155" s="72" t="s">
        <v>126</v>
      </c>
    </row>
    <row r="156" spans="1:7" x14ac:dyDescent="0.2">
      <c r="A156" s="72" t="s">
        <v>41</v>
      </c>
    </row>
    <row r="157" spans="1:7" x14ac:dyDescent="0.2">
      <c r="A157" s="72" t="s">
        <v>42</v>
      </c>
    </row>
    <row r="158" spans="1:7" x14ac:dyDescent="0.2">
      <c r="A158" s="72" t="s">
        <v>43</v>
      </c>
    </row>
    <row r="159" spans="1:7" x14ac:dyDescent="0.2">
      <c r="A159" s="72" t="s">
        <v>44</v>
      </c>
    </row>
    <row r="160" spans="1:7" x14ac:dyDescent="0.2">
      <c r="A160" s="72" t="s">
        <v>127</v>
      </c>
    </row>
    <row r="161" spans="1:1" x14ac:dyDescent="0.2">
      <c r="A161" s="72" t="s">
        <v>128</v>
      </c>
    </row>
  </sheetData>
  <mergeCells count="12">
    <mergeCell ref="A124:A135"/>
    <mergeCell ref="A136:A147"/>
    <mergeCell ref="A64:A75"/>
    <mergeCell ref="A76:A87"/>
    <mergeCell ref="A88:A99"/>
    <mergeCell ref="A100:A111"/>
    <mergeCell ref="A112:A123"/>
    <mergeCell ref="A4:A15"/>
    <mergeCell ref="A16:A27"/>
    <mergeCell ref="A28:A39"/>
    <mergeCell ref="A40:A51"/>
    <mergeCell ref="A52:A63"/>
  </mergeCells>
  <pageMargins left="0.75" right="0.75" top="1" bottom="1" header="0.5" footer="0.5"/>
  <pageSetup orientation="portrait"/>
  <headerFooter alignWithMargins="0">
    <oddFooter>&amp;C&amp;P of &amp;N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"/>
  <sheetViews>
    <sheetView topLeftCell="A100" zoomScale="85" zoomScaleNormal="85" workbookViewId="0">
      <selection activeCell="A137" sqref="A137:A138"/>
    </sheetView>
  </sheetViews>
  <sheetFormatPr defaultRowHeight="12.75" x14ac:dyDescent="0.2"/>
  <cols>
    <col min="1" max="1" width="25.85546875" style="14" bestFit="1" customWidth="1"/>
    <col min="2" max="2" width="12" style="45" customWidth="1"/>
    <col min="3" max="5" width="11.140625" style="45" customWidth="1"/>
    <col min="6" max="6" width="13.42578125" style="45" bestFit="1" customWidth="1"/>
    <col min="7" max="7" width="11.140625" style="45" customWidth="1"/>
    <col min="9" max="9" width="58.85546875" style="2" bestFit="1" customWidth="1"/>
  </cols>
  <sheetData>
    <row r="1" spans="1:10" ht="15.75" customHeight="1" x14ac:dyDescent="0.25">
      <c r="A1" s="22" t="s">
        <v>129</v>
      </c>
    </row>
    <row r="3" spans="1:10" ht="33" customHeight="1" x14ac:dyDescent="0.2">
      <c r="A3" s="1" t="s">
        <v>3</v>
      </c>
      <c r="B3" s="46" t="s">
        <v>4</v>
      </c>
      <c r="C3" s="46" t="s">
        <v>130</v>
      </c>
      <c r="D3" s="46" t="s">
        <v>131</v>
      </c>
      <c r="E3" s="46" t="s">
        <v>132</v>
      </c>
      <c r="F3" s="46" t="s">
        <v>47</v>
      </c>
      <c r="G3" s="46" t="s">
        <v>50</v>
      </c>
    </row>
    <row r="4" spans="1:10" x14ac:dyDescent="0.2">
      <c r="A4" s="223" t="s">
        <v>110</v>
      </c>
      <c r="B4" s="4" t="s">
        <v>133</v>
      </c>
      <c r="C4" s="8">
        <v>39119</v>
      </c>
      <c r="D4" s="9">
        <v>360022</v>
      </c>
      <c r="E4" s="9">
        <f>D4-D15</f>
        <v>16656</v>
      </c>
      <c r="F4" s="210">
        <v>8.767848566649554E-2</v>
      </c>
      <c r="G4" s="211">
        <f>E4*F4</f>
        <v>1460.3728572611496</v>
      </c>
    </row>
    <row r="5" spans="1:10" x14ac:dyDescent="0.2">
      <c r="A5" s="224"/>
      <c r="B5" s="4" t="s">
        <v>134</v>
      </c>
      <c r="C5" s="8">
        <v>38782</v>
      </c>
      <c r="D5" s="9">
        <v>154174</v>
      </c>
      <c r="E5" s="9">
        <v>22448</v>
      </c>
      <c r="F5" s="210">
        <v>9.6420041623540662E-2</v>
      </c>
      <c r="G5" s="211">
        <f>E5*F5</f>
        <v>2164.4370943652407</v>
      </c>
      <c r="I5" s="48" t="s">
        <v>135</v>
      </c>
      <c r="J5" s="212">
        <f>E13/E5</f>
        <v>1.2821632216678547</v>
      </c>
    </row>
    <row r="6" spans="1:10" x14ac:dyDescent="0.2">
      <c r="A6" s="224"/>
      <c r="B6" s="4" t="s">
        <v>136</v>
      </c>
      <c r="C6" s="8">
        <v>38811</v>
      </c>
      <c r="D6" s="9">
        <v>180116</v>
      </c>
      <c r="E6" s="9">
        <v>25942</v>
      </c>
      <c r="F6" s="210">
        <v>9.6879999999999994E-2</v>
      </c>
      <c r="G6" s="211">
        <f>E6*0.09688</f>
        <v>2513.2609600000001</v>
      </c>
      <c r="I6" t="s">
        <v>137</v>
      </c>
      <c r="J6" s="212">
        <f>E11/E5</f>
        <v>0.86537776193870275</v>
      </c>
    </row>
    <row r="7" spans="1:10" x14ac:dyDescent="0.2">
      <c r="A7" s="224"/>
      <c r="B7" s="4" t="s">
        <v>138</v>
      </c>
      <c r="C7" s="8">
        <v>38838</v>
      </c>
      <c r="D7" s="9">
        <v>201334</v>
      </c>
      <c r="E7" s="9">
        <v>21218</v>
      </c>
      <c r="F7" s="210">
        <v>0.10269</v>
      </c>
      <c r="G7" s="211">
        <f>E7*0.10269</f>
        <v>2178.8764200000001</v>
      </c>
      <c r="I7" t="s">
        <v>139</v>
      </c>
      <c r="J7" s="212">
        <f>(SUM(E16:E27)+SUM(E4:E15))/SUM(E4:E15)</f>
        <v>1.4730831902442443</v>
      </c>
    </row>
    <row r="8" spans="1:10" x14ac:dyDescent="0.2">
      <c r="A8" s="224"/>
      <c r="B8" s="4" t="s">
        <v>140</v>
      </c>
      <c r="C8" s="8">
        <v>38869</v>
      </c>
      <c r="D8" s="9">
        <v>220390</v>
      </c>
      <c r="E8" s="9">
        <v>19056</v>
      </c>
      <c r="F8" s="210">
        <v>0.12096</v>
      </c>
      <c r="G8" s="211">
        <f>E8*0.12096</f>
        <v>2305.0137599999998</v>
      </c>
    </row>
    <row r="9" spans="1:10" x14ac:dyDescent="0.2">
      <c r="A9" s="224"/>
      <c r="B9" s="4" t="s">
        <v>141</v>
      </c>
      <c r="C9" s="8">
        <v>38896</v>
      </c>
      <c r="D9" s="9">
        <v>232343</v>
      </c>
      <c r="E9" s="9">
        <v>11953</v>
      </c>
      <c r="F9" s="210">
        <v>0.11636932</v>
      </c>
      <c r="G9" s="211">
        <f>E9*0.11636932</f>
        <v>1390.9624819599999</v>
      </c>
    </row>
    <row r="10" spans="1:10" x14ac:dyDescent="0.2">
      <c r="A10" s="224"/>
      <c r="B10" s="4" t="s">
        <v>142</v>
      </c>
      <c r="C10" s="8">
        <v>38925</v>
      </c>
      <c r="D10" s="9">
        <v>248038</v>
      </c>
      <c r="E10" s="9">
        <v>15695</v>
      </c>
      <c r="F10" s="210">
        <v>0.11636932</v>
      </c>
      <c r="G10" s="211">
        <f>E10*0.11636932</f>
        <v>1826.4164774000001</v>
      </c>
    </row>
    <row r="11" spans="1:10" x14ac:dyDescent="0.2">
      <c r="A11" s="224"/>
      <c r="B11" s="4" t="s">
        <v>143</v>
      </c>
      <c r="C11" s="8">
        <v>38965</v>
      </c>
      <c r="D11" s="9">
        <v>267464</v>
      </c>
      <c r="E11" s="9">
        <v>19426</v>
      </c>
      <c r="F11" s="210">
        <v>0.11484</v>
      </c>
      <c r="G11" s="211">
        <f>E11*0.11484</f>
        <v>2230.88184</v>
      </c>
    </row>
    <row r="12" spans="1:10" x14ac:dyDescent="0.2">
      <c r="A12" s="224"/>
      <c r="B12" s="4" t="s">
        <v>144</v>
      </c>
      <c r="C12" s="8">
        <v>38993</v>
      </c>
      <c r="D12" s="9">
        <v>286756</v>
      </c>
      <c r="E12" s="9">
        <v>19292</v>
      </c>
      <c r="F12" s="210">
        <v>0.12720000000000001</v>
      </c>
      <c r="G12" s="211">
        <f t="shared" ref="G12:G17" si="0">E12*F12</f>
        <v>2453.9424000000004</v>
      </c>
    </row>
    <row r="13" spans="1:10" x14ac:dyDescent="0.2">
      <c r="A13" s="224"/>
      <c r="B13" s="4" t="s">
        <v>145</v>
      </c>
      <c r="C13" s="8">
        <v>39035</v>
      </c>
      <c r="D13" s="9">
        <v>315538</v>
      </c>
      <c r="E13" s="9">
        <v>28782</v>
      </c>
      <c r="F13" s="210">
        <v>0.1144</v>
      </c>
      <c r="G13" s="211">
        <f t="shared" si="0"/>
        <v>3292.6608000000001</v>
      </c>
    </row>
    <row r="14" spans="1:10" x14ac:dyDescent="0.2">
      <c r="A14" s="224"/>
      <c r="B14" s="4" t="s">
        <v>146</v>
      </c>
      <c r="C14" s="8">
        <v>39056</v>
      </c>
      <c r="D14" s="9">
        <v>328546</v>
      </c>
      <c r="E14" s="9">
        <v>13008</v>
      </c>
      <c r="F14" s="210">
        <v>8.9300000000000004E-2</v>
      </c>
      <c r="G14" s="211">
        <f t="shared" si="0"/>
        <v>1161.6144000000002</v>
      </c>
    </row>
    <row r="15" spans="1:10" x14ac:dyDescent="0.2">
      <c r="A15" s="224"/>
      <c r="B15" s="4" t="s">
        <v>147</v>
      </c>
      <c r="C15" s="8">
        <v>38725</v>
      </c>
      <c r="D15" s="9">
        <v>343366</v>
      </c>
      <c r="E15" s="9">
        <v>14820</v>
      </c>
      <c r="F15" s="210">
        <v>9.0713822001888572E-2</v>
      </c>
      <c r="G15" s="211">
        <f t="shared" si="0"/>
        <v>1344.3788420679887</v>
      </c>
    </row>
    <row r="16" spans="1:10" x14ac:dyDescent="0.2">
      <c r="A16" s="223" t="s">
        <v>104</v>
      </c>
      <c r="B16" s="4" t="s">
        <v>133</v>
      </c>
      <c r="C16" s="8">
        <v>39119</v>
      </c>
      <c r="D16" s="9">
        <v>174797</v>
      </c>
      <c r="E16" s="9">
        <f>D16-D27</f>
        <v>8601</v>
      </c>
      <c r="F16" s="210">
        <f>F4</f>
        <v>8.767848566649554E-2</v>
      </c>
      <c r="G16" s="211">
        <f t="shared" si="0"/>
        <v>754.12265521752818</v>
      </c>
    </row>
    <row r="17" spans="1:7" x14ac:dyDescent="0.2">
      <c r="A17" s="224"/>
      <c r="B17" s="4" t="s">
        <v>134</v>
      </c>
      <c r="C17" s="8">
        <v>38782</v>
      </c>
      <c r="D17" s="9">
        <v>78620</v>
      </c>
      <c r="E17" s="9">
        <v>11826</v>
      </c>
      <c r="F17" s="210">
        <f>F5</f>
        <v>9.6420041623540662E-2</v>
      </c>
      <c r="G17" s="211">
        <f t="shared" si="0"/>
        <v>1140.2634122399918</v>
      </c>
    </row>
    <row r="18" spans="1:7" x14ac:dyDescent="0.2">
      <c r="A18" s="224"/>
      <c r="B18" s="4" t="s">
        <v>136</v>
      </c>
      <c r="C18" s="8">
        <v>38811</v>
      </c>
      <c r="D18" s="9">
        <v>87253</v>
      </c>
      <c r="E18" s="9">
        <v>8633</v>
      </c>
      <c r="F18" s="210">
        <v>9.6879999999999994E-2</v>
      </c>
      <c r="G18" s="211">
        <f>E18*0.09688</f>
        <v>836.36503999999991</v>
      </c>
    </row>
    <row r="19" spans="1:7" x14ac:dyDescent="0.2">
      <c r="A19" s="224"/>
      <c r="B19" s="4" t="s">
        <v>138</v>
      </c>
      <c r="C19" s="8">
        <v>38838</v>
      </c>
      <c r="D19" s="9">
        <v>97941</v>
      </c>
      <c r="E19" s="9">
        <v>10688</v>
      </c>
      <c r="F19" s="210">
        <v>0.10269</v>
      </c>
      <c r="G19" s="211">
        <f>E19*0.10269</f>
        <v>1097.55072</v>
      </c>
    </row>
    <row r="20" spans="1:7" x14ac:dyDescent="0.2">
      <c r="A20" s="224"/>
      <c r="B20" s="4" t="s">
        <v>140</v>
      </c>
      <c r="C20" s="8">
        <v>38869</v>
      </c>
      <c r="D20" s="9">
        <v>104773</v>
      </c>
      <c r="E20" s="9">
        <v>6832</v>
      </c>
      <c r="F20" s="210">
        <v>0.12096</v>
      </c>
      <c r="G20" s="211">
        <f>E20*0.12096</f>
        <v>826.39872000000003</v>
      </c>
    </row>
    <row r="21" spans="1:7" x14ac:dyDescent="0.2">
      <c r="A21" s="224"/>
      <c r="B21" s="4" t="s">
        <v>141</v>
      </c>
      <c r="C21" s="8">
        <v>38896</v>
      </c>
      <c r="D21" s="9">
        <v>111739</v>
      </c>
      <c r="E21" s="9">
        <v>6966</v>
      </c>
      <c r="F21" s="210">
        <v>0.11636932</v>
      </c>
      <c r="G21" s="211">
        <f>E21*0.11636932</f>
        <v>810.62868312000001</v>
      </c>
    </row>
    <row r="22" spans="1:7" x14ac:dyDescent="0.2">
      <c r="A22" s="224"/>
      <c r="B22" s="4" t="s">
        <v>142</v>
      </c>
      <c r="C22" s="8">
        <v>38925</v>
      </c>
      <c r="D22" s="9">
        <v>121057</v>
      </c>
      <c r="E22" s="9">
        <v>9318</v>
      </c>
      <c r="F22" s="210">
        <v>0.11636932</v>
      </c>
      <c r="G22" s="211">
        <f>E22*0.11636932</f>
        <v>1084.3293237600001</v>
      </c>
    </row>
    <row r="23" spans="1:7" x14ac:dyDescent="0.2">
      <c r="A23" s="224"/>
      <c r="B23" s="4" t="s">
        <v>143</v>
      </c>
      <c r="C23" s="8">
        <v>38965</v>
      </c>
      <c r="D23" s="9">
        <v>130816</v>
      </c>
      <c r="E23" s="9">
        <v>9759</v>
      </c>
      <c r="F23" s="210">
        <v>0.11484</v>
      </c>
      <c r="G23" s="211">
        <f>E23*0.11484</f>
        <v>1120.7235599999999</v>
      </c>
    </row>
    <row r="24" spans="1:7" x14ac:dyDescent="0.2">
      <c r="A24" s="224"/>
      <c r="B24" s="4" t="s">
        <v>144</v>
      </c>
      <c r="C24" s="8">
        <v>38993</v>
      </c>
      <c r="D24" s="9">
        <v>139074</v>
      </c>
      <c r="E24" s="9">
        <v>8258</v>
      </c>
      <c r="F24" s="210">
        <v>0.12720000000000001</v>
      </c>
      <c r="G24" s="211">
        <f t="shared" ref="G24:G29" si="1">E24*F24</f>
        <v>1050.4176</v>
      </c>
    </row>
    <row r="25" spans="1:7" x14ac:dyDescent="0.2">
      <c r="A25" s="224"/>
      <c r="B25" s="4" t="s">
        <v>145</v>
      </c>
      <c r="C25" s="8">
        <v>39035</v>
      </c>
      <c r="D25" s="9">
        <v>151403</v>
      </c>
      <c r="E25" s="9">
        <v>12329</v>
      </c>
      <c r="F25" s="210">
        <v>0.1144</v>
      </c>
      <c r="G25" s="211">
        <f t="shared" si="1"/>
        <v>1410.4376</v>
      </c>
    </row>
    <row r="26" spans="1:7" x14ac:dyDescent="0.2">
      <c r="A26" s="224"/>
      <c r="B26" s="4" t="s">
        <v>146</v>
      </c>
      <c r="C26" s="8">
        <v>39056</v>
      </c>
      <c r="D26" s="9">
        <v>157658</v>
      </c>
      <c r="E26" s="9">
        <v>6255</v>
      </c>
      <c r="F26" s="210">
        <v>8.9300000000000004E-2</v>
      </c>
      <c r="G26" s="211">
        <f t="shared" si="1"/>
        <v>558.57150000000001</v>
      </c>
    </row>
    <row r="27" spans="1:7" x14ac:dyDescent="0.2">
      <c r="A27" s="224"/>
      <c r="B27" s="4" t="s">
        <v>147</v>
      </c>
      <c r="C27" s="8">
        <v>38725</v>
      </c>
      <c r="D27" s="9">
        <v>166196</v>
      </c>
      <c r="E27" s="9">
        <v>8538</v>
      </c>
      <c r="F27" s="210">
        <v>9.0713822001888572E-2</v>
      </c>
      <c r="G27" s="211">
        <f t="shared" si="1"/>
        <v>774.51461225212461</v>
      </c>
    </row>
    <row r="28" spans="1:7" x14ac:dyDescent="0.2">
      <c r="A28" s="223" t="s">
        <v>12</v>
      </c>
      <c r="B28" s="4" t="s">
        <v>133</v>
      </c>
      <c r="C28" s="8">
        <v>38747</v>
      </c>
      <c r="D28" s="9">
        <v>32372</v>
      </c>
      <c r="E28" s="9">
        <v>3501</v>
      </c>
      <c r="F28" s="210">
        <f>F16</f>
        <v>8.767848566649554E-2</v>
      </c>
      <c r="G28" s="211">
        <f t="shared" si="1"/>
        <v>306.96237831840091</v>
      </c>
    </row>
    <row r="29" spans="1:7" x14ac:dyDescent="0.2">
      <c r="A29" s="224"/>
      <c r="B29" s="4" t="s">
        <v>134</v>
      </c>
      <c r="C29" s="8">
        <v>38782</v>
      </c>
      <c r="D29" s="9">
        <v>38477</v>
      </c>
      <c r="E29" s="9">
        <v>6105</v>
      </c>
      <c r="F29" s="210">
        <f>F17</f>
        <v>9.6420041623540662E-2</v>
      </c>
      <c r="G29" s="211">
        <f t="shared" si="1"/>
        <v>588.64435411171576</v>
      </c>
    </row>
    <row r="30" spans="1:7" x14ac:dyDescent="0.2">
      <c r="A30" s="224"/>
      <c r="B30" s="4" t="s">
        <v>136</v>
      </c>
      <c r="C30" s="8">
        <v>38811</v>
      </c>
      <c r="D30" s="9">
        <v>42917</v>
      </c>
      <c r="E30" s="9">
        <v>4440</v>
      </c>
      <c r="F30" s="210">
        <v>9.6879999999999994E-2</v>
      </c>
      <c r="G30" s="211">
        <f>E30*0.09688</f>
        <v>430.1472</v>
      </c>
    </row>
    <row r="31" spans="1:7" x14ac:dyDescent="0.2">
      <c r="A31" s="224"/>
      <c r="B31" s="4" t="s">
        <v>138</v>
      </c>
      <c r="C31" s="8">
        <v>38838</v>
      </c>
      <c r="D31" s="9">
        <v>47725</v>
      </c>
      <c r="E31" s="9">
        <v>4808</v>
      </c>
      <c r="F31" s="210">
        <v>0.10269</v>
      </c>
      <c r="G31" s="211">
        <f>E31*0.10269</f>
        <v>493.73352</v>
      </c>
    </row>
    <row r="32" spans="1:7" x14ac:dyDescent="0.2">
      <c r="A32" s="224"/>
      <c r="B32" s="4" t="s">
        <v>140</v>
      </c>
      <c r="C32" s="8">
        <v>38869</v>
      </c>
      <c r="D32" s="9">
        <v>51150</v>
      </c>
      <c r="E32" s="9">
        <v>3425</v>
      </c>
      <c r="F32" s="210">
        <v>0.12096</v>
      </c>
      <c r="G32" s="211">
        <f>E32*0.12096</f>
        <v>414.28800000000001</v>
      </c>
    </row>
    <row r="33" spans="1:7" x14ac:dyDescent="0.2">
      <c r="A33" s="224"/>
      <c r="B33" s="4" t="s">
        <v>141</v>
      </c>
      <c r="C33" s="8">
        <v>38896</v>
      </c>
      <c r="D33" s="9">
        <v>52405</v>
      </c>
      <c r="E33" s="9">
        <v>1255</v>
      </c>
      <c r="F33" s="210">
        <v>0.11636932</v>
      </c>
      <c r="G33" s="211">
        <f>E33*0.11636932</f>
        <v>146.0434966</v>
      </c>
    </row>
    <row r="34" spans="1:7" x14ac:dyDescent="0.2">
      <c r="A34" s="224"/>
      <c r="B34" s="4" t="s">
        <v>142</v>
      </c>
      <c r="C34" s="8">
        <v>38925</v>
      </c>
      <c r="D34" s="9">
        <v>55077</v>
      </c>
      <c r="E34" s="9">
        <v>2672</v>
      </c>
      <c r="F34" s="210">
        <v>0.11636932</v>
      </c>
      <c r="G34" s="211">
        <f>E34*0.11636932</f>
        <v>310.93882303999999</v>
      </c>
    </row>
    <row r="35" spans="1:7" x14ac:dyDescent="0.2">
      <c r="A35" s="224"/>
      <c r="B35" s="4" t="s">
        <v>143</v>
      </c>
      <c r="C35" s="8">
        <v>38965</v>
      </c>
      <c r="D35" s="9">
        <v>58825</v>
      </c>
      <c r="E35" s="9">
        <v>3748</v>
      </c>
      <c r="F35" s="210">
        <v>0.11484</v>
      </c>
      <c r="G35" s="211">
        <f>E35*0.11484</f>
        <v>430.42032</v>
      </c>
    </row>
    <row r="36" spans="1:7" x14ac:dyDescent="0.2">
      <c r="A36" s="224"/>
      <c r="B36" s="4" t="s">
        <v>144</v>
      </c>
      <c r="C36" s="8">
        <v>38993</v>
      </c>
      <c r="D36" s="9">
        <v>63996</v>
      </c>
      <c r="E36" s="9">
        <v>5171</v>
      </c>
      <c r="F36" s="210">
        <v>0.12720000000000001</v>
      </c>
      <c r="G36" s="211">
        <f t="shared" ref="G36:G41" si="2">E36*F36</f>
        <v>657.75120000000004</v>
      </c>
    </row>
    <row r="37" spans="1:7" x14ac:dyDescent="0.2">
      <c r="A37" s="224"/>
      <c r="B37" s="4" t="s">
        <v>145</v>
      </c>
      <c r="C37" s="8">
        <v>39035</v>
      </c>
      <c r="D37" s="9">
        <v>71634</v>
      </c>
      <c r="E37" s="9">
        <v>7638</v>
      </c>
      <c r="F37" s="210">
        <v>0.1144</v>
      </c>
      <c r="G37" s="211">
        <f t="shared" si="2"/>
        <v>873.78719999999998</v>
      </c>
    </row>
    <row r="38" spans="1:7" x14ac:dyDescent="0.2">
      <c r="A38" s="224"/>
      <c r="B38" s="4" t="s">
        <v>146</v>
      </c>
      <c r="C38" s="8">
        <v>39056</v>
      </c>
      <c r="D38" s="9">
        <v>75322</v>
      </c>
      <c r="E38" s="9">
        <v>3688</v>
      </c>
      <c r="F38" s="210">
        <v>8.9300000000000004E-2</v>
      </c>
      <c r="G38" s="211">
        <f t="shared" si="2"/>
        <v>329.33840000000004</v>
      </c>
    </row>
    <row r="39" spans="1:7" x14ac:dyDescent="0.2">
      <c r="A39" s="224"/>
      <c r="B39" s="4" t="s">
        <v>147</v>
      </c>
      <c r="C39" s="8">
        <v>38725</v>
      </c>
      <c r="D39" s="9">
        <v>78352</v>
      </c>
      <c r="E39" s="9">
        <v>3030</v>
      </c>
      <c r="F39" s="210">
        <v>9.0713822001888572E-2</v>
      </c>
      <c r="G39" s="211">
        <f t="shared" si="2"/>
        <v>274.8628806657224</v>
      </c>
    </row>
    <row r="40" spans="1:7" x14ac:dyDescent="0.2">
      <c r="A40" s="223" t="s">
        <v>13</v>
      </c>
      <c r="B40" s="4" t="s">
        <v>133</v>
      </c>
      <c r="C40" s="8">
        <v>38747</v>
      </c>
      <c r="D40" s="9">
        <v>8065</v>
      </c>
      <c r="E40" s="9">
        <v>882</v>
      </c>
      <c r="F40" s="210">
        <f>F28</f>
        <v>8.767848566649554E-2</v>
      </c>
      <c r="G40" s="211">
        <f t="shared" si="2"/>
        <v>77.332424357849064</v>
      </c>
    </row>
    <row r="41" spans="1:7" x14ac:dyDescent="0.2">
      <c r="A41" s="224"/>
      <c r="B41" s="4" t="s">
        <v>134</v>
      </c>
      <c r="C41" s="8">
        <v>38782</v>
      </c>
      <c r="D41" s="9">
        <v>9664</v>
      </c>
      <c r="E41" s="9">
        <v>1595</v>
      </c>
      <c r="F41" s="210">
        <f>F29</f>
        <v>9.6420041623540662E-2</v>
      </c>
      <c r="G41" s="211">
        <f t="shared" si="2"/>
        <v>153.78996638954735</v>
      </c>
    </row>
    <row r="42" spans="1:7" x14ac:dyDescent="0.2">
      <c r="A42" s="224"/>
      <c r="B42" s="4" t="s">
        <v>136</v>
      </c>
      <c r="C42" s="8">
        <v>38811</v>
      </c>
      <c r="D42" s="9">
        <v>10629</v>
      </c>
      <c r="E42" s="9">
        <v>965</v>
      </c>
      <c r="F42" s="210">
        <v>9.6879999999999994E-2</v>
      </c>
      <c r="G42" s="211">
        <f>E42*0.09688</f>
        <v>93.489199999999997</v>
      </c>
    </row>
    <row r="43" spans="1:7" x14ac:dyDescent="0.2">
      <c r="A43" s="224"/>
      <c r="B43" s="4" t="s">
        <v>138</v>
      </c>
      <c r="C43" s="8">
        <v>38838</v>
      </c>
      <c r="D43" s="9">
        <v>11744</v>
      </c>
      <c r="E43" s="9">
        <v>1115</v>
      </c>
      <c r="F43" s="210">
        <v>0.10269</v>
      </c>
      <c r="G43" s="211">
        <f>E43*0.10269</f>
        <v>114.49935000000001</v>
      </c>
    </row>
    <row r="44" spans="1:7" x14ac:dyDescent="0.2">
      <c r="A44" s="224"/>
      <c r="B44" s="4" t="s">
        <v>140</v>
      </c>
      <c r="C44" s="8">
        <v>38869</v>
      </c>
      <c r="D44" s="9">
        <v>12593</v>
      </c>
      <c r="E44" s="9">
        <v>849</v>
      </c>
      <c r="F44" s="210">
        <v>0.12096</v>
      </c>
      <c r="G44" s="211">
        <f>E44*0.12096</f>
        <v>102.69503999999999</v>
      </c>
    </row>
    <row r="45" spans="1:7" x14ac:dyDescent="0.2">
      <c r="A45" s="224"/>
      <c r="B45" s="4" t="s">
        <v>141</v>
      </c>
      <c r="C45" s="8">
        <v>38896</v>
      </c>
      <c r="D45" s="9">
        <v>12883</v>
      </c>
      <c r="E45" s="9">
        <v>290</v>
      </c>
      <c r="F45" s="210">
        <v>0.11636932</v>
      </c>
      <c r="G45" s="211">
        <f>E45*0.11636932</f>
        <v>33.7471028</v>
      </c>
    </row>
    <row r="46" spans="1:7" x14ac:dyDescent="0.2">
      <c r="A46" s="224"/>
      <c r="B46" s="4" t="s">
        <v>142</v>
      </c>
      <c r="C46" s="8">
        <v>38925</v>
      </c>
      <c r="D46" s="9">
        <v>13948</v>
      </c>
      <c r="E46" s="9">
        <v>1065</v>
      </c>
      <c r="F46" s="210">
        <v>0.11636932</v>
      </c>
      <c r="G46" s="211">
        <f>E46*0.11636932</f>
        <v>123.93332579999999</v>
      </c>
    </row>
    <row r="47" spans="1:7" x14ac:dyDescent="0.2">
      <c r="A47" s="224"/>
      <c r="B47" s="4" t="s">
        <v>143</v>
      </c>
      <c r="C47" s="8">
        <v>38965</v>
      </c>
      <c r="D47" s="9">
        <v>14825</v>
      </c>
      <c r="E47" s="9">
        <v>877</v>
      </c>
      <c r="F47" s="210">
        <v>0.11484</v>
      </c>
      <c r="G47" s="211">
        <f>E47*0.11484</f>
        <v>100.71468</v>
      </c>
    </row>
    <row r="48" spans="1:7" x14ac:dyDescent="0.2">
      <c r="A48" s="224"/>
      <c r="B48" s="4" t="s">
        <v>144</v>
      </c>
      <c r="C48" s="8">
        <v>38993</v>
      </c>
      <c r="D48" s="9">
        <v>15742</v>
      </c>
      <c r="E48" s="9">
        <v>917</v>
      </c>
      <c r="F48" s="210">
        <v>0.12720000000000001</v>
      </c>
      <c r="G48" s="211">
        <f t="shared" ref="G48:G53" si="3">E48*F48</f>
        <v>116.64240000000001</v>
      </c>
    </row>
    <row r="49" spans="1:7" x14ac:dyDescent="0.2">
      <c r="A49" s="224"/>
      <c r="B49" s="4" t="s">
        <v>145</v>
      </c>
      <c r="C49" s="8">
        <v>39035</v>
      </c>
      <c r="D49" s="9">
        <v>16958</v>
      </c>
      <c r="E49" s="9">
        <v>1216</v>
      </c>
      <c r="F49" s="210">
        <v>0.1144</v>
      </c>
      <c r="G49" s="211">
        <f t="shared" si="3"/>
        <v>139.1104</v>
      </c>
    </row>
    <row r="50" spans="1:7" x14ac:dyDescent="0.2">
      <c r="A50" s="224"/>
      <c r="B50" s="4" t="s">
        <v>146</v>
      </c>
      <c r="C50" s="8">
        <v>39056</v>
      </c>
      <c r="D50" s="9">
        <v>17499</v>
      </c>
      <c r="E50" s="9">
        <v>541</v>
      </c>
      <c r="F50" s="210">
        <v>8.9300000000000004E-2</v>
      </c>
      <c r="G50" s="211">
        <f t="shared" si="3"/>
        <v>48.311300000000003</v>
      </c>
    </row>
    <row r="51" spans="1:7" x14ac:dyDescent="0.2">
      <c r="A51" s="224"/>
      <c r="B51" s="4" t="s">
        <v>147</v>
      </c>
      <c r="C51" s="8">
        <v>38725</v>
      </c>
      <c r="D51" s="9">
        <v>18067</v>
      </c>
      <c r="E51" s="9">
        <v>568</v>
      </c>
      <c r="F51" s="210">
        <v>9.0713822001888572E-2</v>
      </c>
      <c r="G51" s="211">
        <f t="shared" si="3"/>
        <v>51.525450897072709</v>
      </c>
    </row>
    <row r="52" spans="1:7" x14ac:dyDescent="0.2">
      <c r="A52" s="223" t="s">
        <v>14</v>
      </c>
      <c r="B52" s="4" t="s">
        <v>133</v>
      </c>
      <c r="C52" s="8">
        <v>38747</v>
      </c>
      <c r="D52" s="9">
        <v>100061</v>
      </c>
      <c r="E52" s="9">
        <v>11138</v>
      </c>
      <c r="F52" s="210">
        <f>F40</f>
        <v>8.767848566649554E-2</v>
      </c>
      <c r="G52" s="211">
        <f t="shared" si="3"/>
        <v>976.56297335342731</v>
      </c>
    </row>
    <row r="53" spans="1:7" x14ac:dyDescent="0.2">
      <c r="A53" s="224"/>
      <c r="B53" s="4" t="s">
        <v>134</v>
      </c>
      <c r="C53" s="8">
        <v>38782</v>
      </c>
      <c r="D53" s="9">
        <v>120798</v>
      </c>
      <c r="E53" s="9">
        <v>20737</v>
      </c>
      <c r="F53" s="210">
        <f>F41</f>
        <v>9.6420041623540662E-2</v>
      </c>
      <c r="G53" s="211">
        <f t="shared" si="3"/>
        <v>1999.4624031473627</v>
      </c>
    </row>
    <row r="54" spans="1:7" x14ac:dyDescent="0.2">
      <c r="A54" s="224"/>
      <c r="B54" s="4" t="s">
        <v>136</v>
      </c>
      <c r="C54" s="8">
        <v>38811</v>
      </c>
      <c r="D54" s="9">
        <v>135233</v>
      </c>
      <c r="E54" s="9">
        <v>14435</v>
      </c>
      <c r="F54" s="210">
        <v>9.6879999999999994E-2</v>
      </c>
      <c r="G54" s="211">
        <f>E54*0.09688</f>
        <v>1398.4628</v>
      </c>
    </row>
    <row r="55" spans="1:7" x14ac:dyDescent="0.2">
      <c r="A55" s="224"/>
      <c r="B55" s="4" t="s">
        <v>138</v>
      </c>
      <c r="C55" s="8">
        <v>38838</v>
      </c>
      <c r="D55" s="9">
        <v>151692</v>
      </c>
      <c r="E55" s="9">
        <v>16459</v>
      </c>
      <c r="F55" s="210">
        <v>0.10269</v>
      </c>
      <c r="G55" s="211">
        <f>E55*0.10269</f>
        <v>1690.17471</v>
      </c>
    </row>
    <row r="56" spans="1:7" x14ac:dyDescent="0.2">
      <c r="A56" s="224"/>
      <c r="B56" s="4" t="s">
        <v>140</v>
      </c>
      <c r="C56" s="8">
        <v>38869</v>
      </c>
      <c r="D56" s="9">
        <v>163453</v>
      </c>
      <c r="E56" s="9">
        <v>11761</v>
      </c>
      <c r="F56" s="210">
        <v>0.12096</v>
      </c>
      <c r="G56" s="211">
        <f>E56*0.12096</f>
        <v>1422.6105600000001</v>
      </c>
    </row>
    <row r="57" spans="1:7" x14ac:dyDescent="0.2">
      <c r="A57" s="224"/>
      <c r="B57" s="4" t="s">
        <v>141</v>
      </c>
      <c r="C57" s="8">
        <v>38896</v>
      </c>
      <c r="D57" s="9">
        <v>167840</v>
      </c>
      <c r="E57" s="9">
        <v>4387</v>
      </c>
      <c r="F57" s="210">
        <v>0.11636932</v>
      </c>
      <c r="G57" s="211">
        <f>E57*0.11636932</f>
        <v>510.51220683999998</v>
      </c>
    </row>
    <row r="58" spans="1:7" x14ac:dyDescent="0.2">
      <c r="A58" s="224"/>
      <c r="B58" s="4" t="s">
        <v>142</v>
      </c>
      <c r="C58" s="8">
        <v>38925</v>
      </c>
      <c r="D58" s="9">
        <v>173011</v>
      </c>
      <c r="E58" s="9">
        <v>5171</v>
      </c>
      <c r="F58" s="210">
        <v>0.11636932</v>
      </c>
      <c r="G58" s="211">
        <f>E58*0.11636932</f>
        <v>601.74575372000004</v>
      </c>
    </row>
    <row r="59" spans="1:7" x14ac:dyDescent="0.2">
      <c r="A59" s="224"/>
      <c r="B59" s="4" t="s">
        <v>143</v>
      </c>
      <c r="C59" s="8">
        <v>38965</v>
      </c>
      <c r="D59" s="9">
        <v>184278</v>
      </c>
      <c r="E59" s="9">
        <v>11267</v>
      </c>
      <c r="F59" s="210">
        <v>0.11484</v>
      </c>
      <c r="G59" s="211">
        <f>E59*0.11484</f>
        <v>1293.90228</v>
      </c>
    </row>
    <row r="60" spans="1:7" x14ac:dyDescent="0.2">
      <c r="A60" s="224"/>
      <c r="B60" s="4" t="s">
        <v>144</v>
      </c>
      <c r="C60" s="8">
        <v>38993</v>
      </c>
      <c r="D60" s="9">
        <v>199611</v>
      </c>
      <c r="E60" s="9">
        <v>15333</v>
      </c>
      <c r="F60" s="210">
        <v>0.12720000000000001</v>
      </c>
      <c r="G60" s="211">
        <f t="shared" ref="G60:G65" si="4">E60*F60</f>
        <v>1950.3576</v>
      </c>
    </row>
    <row r="61" spans="1:7" x14ac:dyDescent="0.2">
      <c r="A61" s="224"/>
      <c r="B61" s="4" t="s">
        <v>145</v>
      </c>
      <c r="C61" s="8">
        <v>39035</v>
      </c>
      <c r="D61" s="9">
        <v>223553</v>
      </c>
      <c r="E61" s="9">
        <v>23942</v>
      </c>
      <c r="F61" s="210">
        <v>0.1144</v>
      </c>
      <c r="G61" s="211">
        <f t="shared" si="4"/>
        <v>2738.9648000000002</v>
      </c>
    </row>
    <row r="62" spans="1:7" x14ac:dyDescent="0.2">
      <c r="A62" s="224"/>
      <c r="B62" s="4" t="s">
        <v>146</v>
      </c>
      <c r="C62" s="8">
        <v>39056</v>
      </c>
      <c r="D62" s="9">
        <v>234931</v>
      </c>
      <c r="E62" s="9">
        <v>11378</v>
      </c>
      <c r="F62" s="210">
        <v>8.9300000000000004E-2</v>
      </c>
      <c r="G62" s="211">
        <f t="shared" si="4"/>
        <v>1016.0554000000001</v>
      </c>
    </row>
    <row r="63" spans="1:7" x14ac:dyDescent="0.2">
      <c r="A63" s="224"/>
      <c r="B63" s="4" t="s">
        <v>147</v>
      </c>
      <c r="C63" s="8">
        <v>38725</v>
      </c>
      <c r="D63" s="9">
        <v>244644</v>
      </c>
      <c r="E63" s="9">
        <v>9713</v>
      </c>
      <c r="F63" s="210">
        <v>9.0713822001888572E-2</v>
      </c>
      <c r="G63" s="211">
        <f t="shared" si="4"/>
        <v>881.10335310434368</v>
      </c>
    </row>
    <row r="64" spans="1:7" x14ac:dyDescent="0.2">
      <c r="A64" s="223" t="s">
        <v>15</v>
      </c>
      <c r="B64" s="4" t="s">
        <v>133</v>
      </c>
      <c r="C64" s="8">
        <v>38747</v>
      </c>
      <c r="D64" s="9">
        <v>9628</v>
      </c>
      <c r="E64" s="9">
        <v>1220</v>
      </c>
      <c r="F64" s="210">
        <f>F52</f>
        <v>8.767848566649554E-2</v>
      </c>
      <c r="G64" s="211">
        <f t="shared" si="4"/>
        <v>106.96775251312455</v>
      </c>
    </row>
    <row r="65" spans="1:7" x14ac:dyDescent="0.2">
      <c r="A65" s="224"/>
      <c r="B65" s="4" t="s">
        <v>134</v>
      </c>
      <c r="C65" s="8">
        <v>38782</v>
      </c>
      <c r="D65" s="9">
        <v>11206</v>
      </c>
      <c r="E65" s="9">
        <v>1576</v>
      </c>
      <c r="F65" s="210">
        <f>F53</f>
        <v>9.6420041623540662E-2</v>
      </c>
      <c r="G65" s="211">
        <f t="shared" si="4"/>
        <v>151.95798559870008</v>
      </c>
    </row>
    <row r="66" spans="1:7" x14ac:dyDescent="0.2">
      <c r="A66" s="224"/>
      <c r="B66" s="4" t="s">
        <v>136</v>
      </c>
      <c r="C66" s="8">
        <v>38811</v>
      </c>
      <c r="D66" s="9">
        <v>12068</v>
      </c>
      <c r="E66" s="9">
        <v>862</v>
      </c>
      <c r="F66" s="210">
        <v>9.6879999999999994E-2</v>
      </c>
      <c r="G66" s="211">
        <f>E66*0.09688</f>
        <v>83.510559999999998</v>
      </c>
    </row>
    <row r="67" spans="1:7" x14ac:dyDescent="0.2">
      <c r="A67" s="224"/>
      <c r="B67" s="4" t="s">
        <v>138</v>
      </c>
      <c r="C67" s="8">
        <v>38838</v>
      </c>
      <c r="D67" s="9">
        <v>13016</v>
      </c>
      <c r="E67" s="9">
        <v>948</v>
      </c>
      <c r="F67" s="210">
        <v>0.10269</v>
      </c>
      <c r="G67" s="211">
        <f>E67*0.10269</f>
        <v>97.350120000000004</v>
      </c>
    </row>
    <row r="68" spans="1:7" x14ac:dyDescent="0.2">
      <c r="A68" s="224"/>
      <c r="B68" s="4" t="s">
        <v>140</v>
      </c>
      <c r="C68" s="8">
        <v>38869</v>
      </c>
      <c r="D68" s="9">
        <v>13993</v>
      </c>
      <c r="E68" s="9">
        <v>977</v>
      </c>
      <c r="F68" s="210">
        <v>0.12096</v>
      </c>
      <c r="G68" s="211">
        <f>E68*0.12096</f>
        <v>118.17792</v>
      </c>
    </row>
    <row r="69" spans="1:7" x14ac:dyDescent="0.2">
      <c r="A69" s="224"/>
      <c r="B69" s="4" t="s">
        <v>141</v>
      </c>
      <c r="C69" s="8">
        <v>38896</v>
      </c>
      <c r="D69" s="9">
        <v>14987</v>
      </c>
      <c r="E69" s="9">
        <v>994</v>
      </c>
      <c r="F69" s="210">
        <v>0.11636932</v>
      </c>
      <c r="G69" s="211">
        <f>E69*0.11636932</f>
        <v>115.67110407999999</v>
      </c>
    </row>
    <row r="70" spans="1:7" x14ac:dyDescent="0.2">
      <c r="A70" s="224"/>
      <c r="B70" s="4" t="s">
        <v>142</v>
      </c>
      <c r="C70" s="8">
        <v>38925</v>
      </c>
      <c r="D70" s="9">
        <v>16161</v>
      </c>
      <c r="E70" s="9">
        <v>1174</v>
      </c>
      <c r="F70" s="210">
        <v>0.11636932</v>
      </c>
      <c r="G70" s="211">
        <f>E70*0.11636932</f>
        <v>136.61758168</v>
      </c>
    </row>
    <row r="71" spans="1:7" x14ac:dyDescent="0.2">
      <c r="A71" s="224"/>
      <c r="B71" s="4" t="s">
        <v>143</v>
      </c>
      <c r="C71" s="8">
        <v>38965</v>
      </c>
      <c r="D71" s="9">
        <v>17414</v>
      </c>
      <c r="E71" s="9">
        <v>1253</v>
      </c>
      <c r="F71" s="210">
        <v>0.11484</v>
      </c>
      <c r="G71" s="211">
        <f>E71*0.11484</f>
        <v>143.89452</v>
      </c>
    </row>
    <row r="72" spans="1:7" x14ac:dyDescent="0.2">
      <c r="A72" s="224"/>
      <c r="B72" s="4" t="s">
        <v>144</v>
      </c>
      <c r="C72" s="8">
        <v>38993</v>
      </c>
      <c r="D72" s="9">
        <v>18641</v>
      </c>
      <c r="E72" s="9">
        <v>1227</v>
      </c>
      <c r="F72" s="210">
        <v>0.12720000000000001</v>
      </c>
      <c r="G72" s="211">
        <f t="shared" ref="G72:G77" si="5">E72*F72</f>
        <v>156.0744</v>
      </c>
    </row>
    <row r="73" spans="1:7" x14ac:dyDescent="0.2">
      <c r="A73" s="224"/>
      <c r="B73" s="4" t="s">
        <v>145</v>
      </c>
      <c r="C73" s="8">
        <v>39035</v>
      </c>
      <c r="D73" s="9">
        <v>20104</v>
      </c>
      <c r="E73" s="9">
        <v>1463</v>
      </c>
      <c r="F73" s="210">
        <v>0.1144</v>
      </c>
      <c r="G73" s="211">
        <f t="shared" si="5"/>
        <v>167.3672</v>
      </c>
    </row>
    <row r="74" spans="1:7" x14ac:dyDescent="0.2">
      <c r="A74" s="224"/>
      <c r="B74" s="4" t="s">
        <v>146</v>
      </c>
      <c r="C74" s="8">
        <v>39056</v>
      </c>
      <c r="D74" s="9">
        <v>20780</v>
      </c>
      <c r="E74" s="9">
        <v>676</v>
      </c>
      <c r="F74" s="210">
        <v>8.9300000000000004E-2</v>
      </c>
      <c r="G74" s="211">
        <f t="shared" si="5"/>
        <v>60.366800000000005</v>
      </c>
    </row>
    <row r="75" spans="1:7" x14ac:dyDescent="0.2">
      <c r="A75" s="224"/>
      <c r="B75" s="4" t="s">
        <v>147</v>
      </c>
      <c r="C75" s="8">
        <v>38725</v>
      </c>
      <c r="D75" s="9">
        <v>21902</v>
      </c>
      <c r="E75" s="9">
        <v>1122</v>
      </c>
      <c r="F75" s="210">
        <v>9.0713822001888572E-2</v>
      </c>
      <c r="G75" s="211">
        <f t="shared" si="5"/>
        <v>101.78090828611897</v>
      </c>
    </row>
    <row r="76" spans="1:7" x14ac:dyDescent="0.2">
      <c r="A76" s="223" t="s">
        <v>17</v>
      </c>
      <c r="B76" s="4" t="s">
        <v>133</v>
      </c>
      <c r="C76" s="8">
        <v>38747</v>
      </c>
      <c r="D76" s="9">
        <v>15610</v>
      </c>
      <c r="E76" s="9">
        <v>1762</v>
      </c>
      <c r="F76" s="210">
        <f>F64</f>
        <v>8.767848566649554E-2</v>
      </c>
      <c r="G76" s="211">
        <f t="shared" si="5"/>
        <v>154.48949174436515</v>
      </c>
    </row>
    <row r="77" spans="1:7" x14ac:dyDescent="0.2">
      <c r="A77" s="224"/>
      <c r="B77" s="4" t="s">
        <v>134</v>
      </c>
      <c r="C77" s="8">
        <v>38782</v>
      </c>
      <c r="D77" s="9">
        <v>18840</v>
      </c>
      <c r="E77" s="9">
        <v>3230</v>
      </c>
      <c r="F77" s="210">
        <f>F65</f>
        <v>9.6420041623540662E-2</v>
      </c>
      <c r="G77" s="211">
        <f t="shared" si="5"/>
        <v>311.43673444403635</v>
      </c>
    </row>
    <row r="78" spans="1:7" x14ac:dyDescent="0.2">
      <c r="A78" s="224"/>
      <c r="B78" s="4" t="s">
        <v>136</v>
      </c>
      <c r="C78" s="8">
        <v>38811</v>
      </c>
      <c r="D78" s="9">
        <v>21103</v>
      </c>
      <c r="E78" s="9">
        <v>2263</v>
      </c>
      <c r="F78" s="210">
        <v>9.6879999999999994E-2</v>
      </c>
      <c r="G78" s="211">
        <f>E78*0.09688</f>
        <v>219.23943999999997</v>
      </c>
    </row>
    <row r="79" spans="1:7" x14ac:dyDescent="0.2">
      <c r="A79" s="224"/>
      <c r="B79" s="4" t="s">
        <v>138</v>
      </c>
      <c r="C79" s="8">
        <v>38838</v>
      </c>
      <c r="D79" s="9">
        <v>23592</v>
      </c>
      <c r="E79" s="9">
        <v>2489</v>
      </c>
      <c r="F79" s="210">
        <v>0.10269</v>
      </c>
      <c r="G79" s="211">
        <f>E79*0.10269</f>
        <v>255.59541000000002</v>
      </c>
    </row>
    <row r="80" spans="1:7" x14ac:dyDescent="0.2">
      <c r="A80" s="224"/>
      <c r="B80" s="4" t="s">
        <v>140</v>
      </c>
      <c r="C80" s="8">
        <v>38869</v>
      </c>
      <c r="D80" s="9">
        <v>25437</v>
      </c>
      <c r="E80" s="9">
        <v>1845</v>
      </c>
      <c r="F80" s="210">
        <v>0.12096</v>
      </c>
      <c r="G80" s="211">
        <f>E80*0.12096</f>
        <v>223.1712</v>
      </c>
    </row>
    <row r="81" spans="1:7" x14ac:dyDescent="0.2">
      <c r="A81" s="224"/>
      <c r="B81" s="4" t="s">
        <v>141</v>
      </c>
      <c r="C81" s="8">
        <v>38896</v>
      </c>
      <c r="D81" s="9">
        <v>26075</v>
      </c>
      <c r="E81" s="9">
        <v>638</v>
      </c>
      <c r="F81" s="210">
        <v>0.11636932</v>
      </c>
      <c r="G81" s="211">
        <f>E81*0.11636932</f>
        <v>74.243626160000005</v>
      </c>
    </row>
    <row r="82" spans="1:7" x14ac:dyDescent="0.2">
      <c r="A82" s="224"/>
      <c r="B82" s="4" t="s">
        <v>142</v>
      </c>
      <c r="C82" s="8">
        <v>38925</v>
      </c>
      <c r="D82" s="9">
        <v>27443</v>
      </c>
      <c r="E82" s="9">
        <v>1368</v>
      </c>
      <c r="F82" s="210">
        <v>0.11636932</v>
      </c>
      <c r="G82" s="211">
        <f>E82*0.11636932</f>
        <v>159.19322976000001</v>
      </c>
    </row>
    <row r="83" spans="1:7" x14ac:dyDescent="0.2">
      <c r="A83" s="224"/>
      <c r="B83" s="4" t="s">
        <v>143</v>
      </c>
      <c r="C83" s="8">
        <v>38965</v>
      </c>
      <c r="D83" s="9">
        <v>29313</v>
      </c>
      <c r="E83" s="9">
        <v>1870</v>
      </c>
      <c r="F83" s="210">
        <v>0.11484</v>
      </c>
      <c r="G83" s="211">
        <f>E83*0.11484</f>
        <v>214.7508</v>
      </c>
    </row>
    <row r="84" spans="1:7" x14ac:dyDescent="0.2">
      <c r="A84" s="224"/>
      <c r="B84" s="4" t="s">
        <v>144</v>
      </c>
      <c r="C84" s="8">
        <v>38993</v>
      </c>
      <c r="D84" s="9">
        <v>31784</v>
      </c>
      <c r="E84" s="9">
        <v>2471</v>
      </c>
      <c r="F84" s="210">
        <v>0.12720000000000001</v>
      </c>
      <c r="G84" s="211">
        <f t="shared" ref="G84:G89" si="6">E84*F84</f>
        <v>314.31120000000004</v>
      </c>
    </row>
    <row r="85" spans="1:7" x14ac:dyDescent="0.2">
      <c r="A85" s="224"/>
      <c r="B85" s="4" t="s">
        <v>145</v>
      </c>
      <c r="C85" s="8">
        <v>39035</v>
      </c>
      <c r="D85" s="9">
        <v>35317</v>
      </c>
      <c r="E85" s="9">
        <v>3533</v>
      </c>
      <c r="F85" s="210">
        <v>0.1144</v>
      </c>
      <c r="G85" s="211">
        <f t="shared" si="6"/>
        <v>404.17520000000002</v>
      </c>
    </row>
    <row r="86" spans="1:7" x14ac:dyDescent="0.2">
      <c r="A86" s="224"/>
      <c r="B86" s="4" t="s">
        <v>146</v>
      </c>
      <c r="C86" s="8">
        <v>39056</v>
      </c>
      <c r="D86" s="9">
        <v>37042</v>
      </c>
      <c r="E86" s="9">
        <v>1725</v>
      </c>
      <c r="F86" s="210">
        <v>8.9300000000000004E-2</v>
      </c>
      <c r="G86" s="211">
        <f t="shared" si="6"/>
        <v>154.04250000000002</v>
      </c>
    </row>
    <row r="87" spans="1:7" x14ac:dyDescent="0.2">
      <c r="A87" s="224"/>
      <c r="B87" s="4" t="s">
        <v>147</v>
      </c>
      <c r="C87" s="8">
        <v>38725</v>
      </c>
      <c r="D87" s="9">
        <v>38380</v>
      </c>
      <c r="E87" s="9">
        <v>1338</v>
      </c>
      <c r="F87" s="210">
        <v>9.0713822001888572E-2</v>
      </c>
      <c r="G87" s="211">
        <f t="shared" si="6"/>
        <v>121.37509383852691</v>
      </c>
    </row>
    <row r="88" spans="1:7" x14ac:dyDescent="0.2">
      <c r="A88" s="223" t="s">
        <v>94</v>
      </c>
      <c r="B88" s="4" t="s">
        <v>133</v>
      </c>
      <c r="C88" s="8">
        <v>38747</v>
      </c>
      <c r="D88" s="9">
        <v>14754</v>
      </c>
      <c r="E88" s="9">
        <v>1951</v>
      </c>
      <c r="F88" s="210">
        <f>F76</f>
        <v>8.767848566649554E-2</v>
      </c>
      <c r="G88" s="211">
        <f t="shared" si="6"/>
        <v>171.06072553533281</v>
      </c>
    </row>
    <row r="89" spans="1:7" x14ac:dyDescent="0.2">
      <c r="A89" s="224"/>
      <c r="B89" s="4" t="s">
        <v>134</v>
      </c>
      <c r="C89" s="8">
        <v>38782</v>
      </c>
      <c r="D89" s="9">
        <v>18436</v>
      </c>
      <c r="E89" s="9">
        <v>3682</v>
      </c>
      <c r="F89" s="210">
        <f>F77</f>
        <v>9.6420041623540662E-2</v>
      </c>
      <c r="G89" s="211">
        <f t="shared" si="6"/>
        <v>355.01859325787672</v>
      </c>
    </row>
    <row r="90" spans="1:7" x14ac:dyDescent="0.2">
      <c r="A90" s="224"/>
      <c r="B90" s="4" t="s">
        <v>136</v>
      </c>
      <c r="C90" s="8">
        <v>38811</v>
      </c>
      <c r="D90" s="9">
        <v>21034</v>
      </c>
      <c r="E90" s="9">
        <v>2598</v>
      </c>
      <c r="F90" s="210">
        <v>9.6879999999999994E-2</v>
      </c>
      <c r="G90" s="211">
        <f>E90*0.09688</f>
        <v>251.69423999999998</v>
      </c>
    </row>
    <row r="91" spans="1:7" x14ac:dyDescent="0.2">
      <c r="A91" s="224"/>
      <c r="B91" s="4" t="s">
        <v>138</v>
      </c>
      <c r="C91" s="8">
        <v>38838</v>
      </c>
      <c r="D91" s="9">
        <v>23689</v>
      </c>
      <c r="E91" s="9">
        <v>2655</v>
      </c>
      <c r="F91" s="210">
        <v>0.10269</v>
      </c>
      <c r="G91" s="211">
        <f>E91*0.10269</f>
        <v>272.64195000000001</v>
      </c>
    </row>
    <row r="92" spans="1:7" x14ac:dyDescent="0.2">
      <c r="A92" s="224"/>
      <c r="B92" s="4" t="s">
        <v>140</v>
      </c>
      <c r="C92" s="8">
        <v>38869</v>
      </c>
      <c r="D92" s="9">
        <v>25567</v>
      </c>
      <c r="E92" s="9">
        <v>1878</v>
      </c>
      <c r="F92" s="210">
        <v>0.12096</v>
      </c>
      <c r="G92" s="211">
        <f>E92*0.12096</f>
        <v>227.16288</v>
      </c>
    </row>
    <row r="93" spans="1:7" x14ac:dyDescent="0.2">
      <c r="A93" s="224"/>
      <c r="B93" s="4" t="s">
        <v>141</v>
      </c>
      <c r="C93" s="8">
        <v>38896</v>
      </c>
      <c r="D93" s="9">
        <v>26114</v>
      </c>
      <c r="E93" s="9">
        <v>547</v>
      </c>
      <c r="F93" s="210">
        <v>0.11636932</v>
      </c>
      <c r="G93" s="211">
        <f>E93*0.11636932</f>
        <v>63.654018039999997</v>
      </c>
    </row>
    <row r="94" spans="1:7" x14ac:dyDescent="0.2">
      <c r="A94" s="224"/>
      <c r="B94" s="4" t="s">
        <v>142</v>
      </c>
      <c r="C94" s="8">
        <v>38925</v>
      </c>
      <c r="D94" s="9">
        <v>27068</v>
      </c>
      <c r="E94" s="9">
        <v>954</v>
      </c>
      <c r="F94" s="210">
        <v>0.11636932</v>
      </c>
      <c r="G94" s="211">
        <f>E94*0.11636932</f>
        <v>111.01633128</v>
      </c>
    </row>
    <row r="95" spans="1:7" x14ac:dyDescent="0.2">
      <c r="A95" s="224"/>
      <c r="B95" s="4" t="s">
        <v>143</v>
      </c>
      <c r="C95" s="8">
        <v>38965</v>
      </c>
      <c r="D95" s="9">
        <v>28320</v>
      </c>
      <c r="E95" s="9">
        <v>1252</v>
      </c>
      <c r="F95" s="210">
        <v>0.11484</v>
      </c>
      <c r="G95" s="211">
        <f>E95*0.11484</f>
        <v>143.77967999999998</v>
      </c>
    </row>
    <row r="96" spans="1:7" x14ac:dyDescent="0.2">
      <c r="A96" s="224"/>
      <c r="B96" s="4" t="s">
        <v>144</v>
      </c>
      <c r="C96" s="8">
        <v>38993</v>
      </c>
      <c r="D96" s="9">
        <v>30054</v>
      </c>
      <c r="E96" s="9">
        <v>1734</v>
      </c>
      <c r="F96" s="210">
        <v>0.12720000000000001</v>
      </c>
      <c r="G96" s="211">
        <f t="shared" ref="G96:G101" si="7">E96*F96</f>
        <v>220.56480000000002</v>
      </c>
    </row>
    <row r="97" spans="1:7" x14ac:dyDescent="0.2">
      <c r="A97" s="224"/>
      <c r="B97" s="4" t="s">
        <v>145</v>
      </c>
      <c r="C97" s="8">
        <v>39035</v>
      </c>
      <c r="D97" s="9">
        <v>32847</v>
      </c>
      <c r="E97" s="9">
        <v>2793</v>
      </c>
      <c r="F97" s="210">
        <v>0.1144</v>
      </c>
      <c r="G97" s="211">
        <f t="shared" si="7"/>
        <v>319.51920000000001</v>
      </c>
    </row>
    <row r="98" spans="1:7" x14ac:dyDescent="0.2">
      <c r="A98" s="224"/>
      <c r="B98" s="4" t="s">
        <v>146</v>
      </c>
      <c r="C98" s="8">
        <v>39056</v>
      </c>
      <c r="D98" s="9">
        <v>34080</v>
      </c>
      <c r="E98" s="9">
        <v>1233</v>
      </c>
      <c r="F98" s="210">
        <v>8.9300000000000004E-2</v>
      </c>
      <c r="G98" s="211">
        <f t="shared" si="7"/>
        <v>110.10690000000001</v>
      </c>
    </row>
    <row r="99" spans="1:7" x14ac:dyDescent="0.2">
      <c r="A99" s="224"/>
      <c r="B99" s="4" t="s">
        <v>147</v>
      </c>
      <c r="C99" s="8">
        <v>38725</v>
      </c>
      <c r="D99" s="9">
        <v>35209</v>
      </c>
      <c r="E99" s="9">
        <v>1129</v>
      </c>
      <c r="F99" s="210">
        <v>9.0713822001888572E-2</v>
      </c>
      <c r="G99" s="211">
        <f t="shared" si="7"/>
        <v>102.4159050401322</v>
      </c>
    </row>
    <row r="100" spans="1:7" x14ac:dyDescent="0.2">
      <c r="A100" s="223" t="s">
        <v>95</v>
      </c>
      <c r="B100" s="4" t="s">
        <v>133</v>
      </c>
      <c r="C100" s="8">
        <v>38747</v>
      </c>
      <c r="D100" s="9">
        <v>23118</v>
      </c>
      <c r="E100" s="9">
        <v>2342</v>
      </c>
      <c r="F100" s="210">
        <f>F88</f>
        <v>8.767848566649554E-2</v>
      </c>
      <c r="G100" s="211">
        <f t="shared" si="7"/>
        <v>205.34301343093256</v>
      </c>
    </row>
    <row r="101" spans="1:7" x14ac:dyDescent="0.2">
      <c r="A101" s="224"/>
      <c r="B101" s="4" t="s">
        <v>134</v>
      </c>
      <c r="C101" s="8">
        <v>38782</v>
      </c>
      <c r="D101" s="9">
        <v>27826</v>
      </c>
      <c r="E101" s="9">
        <v>4706</v>
      </c>
      <c r="F101" s="210">
        <f>F89</f>
        <v>9.6420041623540662E-2</v>
      </c>
      <c r="G101" s="211">
        <f t="shared" si="7"/>
        <v>453.75271588038237</v>
      </c>
    </row>
    <row r="102" spans="1:7" x14ac:dyDescent="0.2">
      <c r="A102" s="224"/>
      <c r="B102" s="4" t="s">
        <v>136</v>
      </c>
      <c r="C102" s="8">
        <v>38811</v>
      </c>
      <c r="D102" s="9">
        <v>31063</v>
      </c>
      <c r="E102" s="9">
        <v>3237</v>
      </c>
      <c r="F102" s="210">
        <v>9.6879999999999994E-2</v>
      </c>
      <c r="G102" s="211">
        <f>E102*0.09688</f>
        <v>313.60055999999997</v>
      </c>
    </row>
    <row r="103" spans="1:7" x14ac:dyDescent="0.2">
      <c r="A103" s="224"/>
      <c r="B103" s="4" t="s">
        <v>138</v>
      </c>
      <c r="C103" s="8">
        <v>38838</v>
      </c>
      <c r="D103" s="9">
        <v>34593</v>
      </c>
      <c r="E103" s="9">
        <v>3530</v>
      </c>
      <c r="F103" s="210">
        <v>0.10269</v>
      </c>
      <c r="G103" s="211">
        <f>E103*0.10269</f>
        <v>362.4957</v>
      </c>
    </row>
    <row r="104" spans="1:7" x14ac:dyDescent="0.2">
      <c r="A104" s="224"/>
      <c r="B104" s="4" t="s">
        <v>140</v>
      </c>
      <c r="C104" s="8">
        <v>38869</v>
      </c>
      <c r="D104" s="9">
        <v>37128</v>
      </c>
      <c r="E104" s="9">
        <v>2535</v>
      </c>
      <c r="F104" s="210">
        <v>0.12096</v>
      </c>
      <c r="G104" s="211">
        <f>E104*0.12096</f>
        <v>306.6336</v>
      </c>
    </row>
    <row r="105" spans="1:7" x14ac:dyDescent="0.2">
      <c r="A105" s="224"/>
      <c r="B105" s="4" t="s">
        <v>141</v>
      </c>
      <c r="C105" s="8">
        <v>38896</v>
      </c>
      <c r="D105" s="9">
        <v>37996</v>
      </c>
      <c r="E105" s="9">
        <v>868</v>
      </c>
      <c r="F105" s="210">
        <v>0.11636932</v>
      </c>
      <c r="G105" s="211">
        <f>E105*0.11636932</f>
        <v>101.00856976</v>
      </c>
    </row>
    <row r="106" spans="1:7" x14ac:dyDescent="0.2">
      <c r="A106" s="224"/>
      <c r="B106" s="4" t="s">
        <v>142</v>
      </c>
      <c r="C106" s="8">
        <v>38925</v>
      </c>
      <c r="D106" s="9">
        <v>39535</v>
      </c>
      <c r="E106" s="9">
        <v>1539</v>
      </c>
      <c r="F106" s="210">
        <v>0.11636932</v>
      </c>
      <c r="G106" s="211">
        <f>E106*0.11636932</f>
        <v>179.09238348</v>
      </c>
    </row>
    <row r="107" spans="1:7" x14ac:dyDescent="0.2">
      <c r="A107" s="224"/>
      <c r="B107" s="4" t="s">
        <v>143</v>
      </c>
      <c r="C107" s="8">
        <v>38965</v>
      </c>
      <c r="D107" s="9">
        <v>41954</v>
      </c>
      <c r="E107" s="9">
        <v>2419</v>
      </c>
      <c r="F107" s="210">
        <v>0.11484</v>
      </c>
      <c r="G107" s="211">
        <f>E107*0.11484</f>
        <v>277.79795999999999</v>
      </c>
    </row>
    <row r="108" spans="1:7" x14ac:dyDescent="0.2">
      <c r="A108" s="224"/>
      <c r="B108" s="4" t="s">
        <v>144</v>
      </c>
      <c r="C108" s="8">
        <v>38993</v>
      </c>
      <c r="D108" s="9">
        <v>44713</v>
      </c>
      <c r="E108" s="9">
        <v>2759</v>
      </c>
      <c r="F108" s="210">
        <v>0.12720000000000001</v>
      </c>
      <c r="G108" s="211">
        <f t="shared" ref="G108:G113" si="8">E108*F108</f>
        <v>350.94480000000004</v>
      </c>
    </row>
    <row r="109" spans="1:7" x14ac:dyDescent="0.2">
      <c r="A109" s="224"/>
      <c r="B109" s="4" t="s">
        <v>145</v>
      </c>
      <c r="C109" s="8">
        <v>39035</v>
      </c>
      <c r="D109" s="9">
        <v>48845</v>
      </c>
      <c r="E109" s="9">
        <v>4132</v>
      </c>
      <c r="F109" s="210">
        <v>0.1144</v>
      </c>
      <c r="G109" s="211">
        <f t="shared" si="8"/>
        <v>472.70080000000002</v>
      </c>
    </row>
    <row r="110" spans="1:7" x14ac:dyDescent="0.2">
      <c r="A110" s="224"/>
      <c r="B110" s="4" t="s">
        <v>146</v>
      </c>
      <c r="C110" s="8">
        <v>39056</v>
      </c>
      <c r="D110" s="9">
        <v>50765</v>
      </c>
      <c r="E110" s="9">
        <v>1920</v>
      </c>
      <c r="F110" s="210">
        <v>8.9300000000000004E-2</v>
      </c>
      <c r="G110" s="211">
        <f t="shared" si="8"/>
        <v>171.45600000000002</v>
      </c>
    </row>
    <row r="111" spans="1:7" x14ac:dyDescent="0.2">
      <c r="A111" s="224"/>
      <c r="B111" s="4" t="s">
        <v>147</v>
      </c>
      <c r="C111" s="8">
        <v>38725</v>
      </c>
      <c r="D111" s="9">
        <v>52490</v>
      </c>
      <c r="E111" s="9">
        <v>1725</v>
      </c>
      <c r="F111" s="210">
        <v>9.0713822001888572E-2</v>
      </c>
      <c r="G111" s="211">
        <f t="shared" si="8"/>
        <v>156.48134295325778</v>
      </c>
    </row>
    <row r="112" spans="1:7" x14ac:dyDescent="0.2">
      <c r="A112" s="223" t="s">
        <v>21</v>
      </c>
      <c r="B112" s="4" t="s">
        <v>133</v>
      </c>
      <c r="C112" s="8">
        <v>38747</v>
      </c>
      <c r="D112" s="9">
        <v>23547</v>
      </c>
      <c r="E112" s="9">
        <v>2437</v>
      </c>
      <c r="F112" s="210">
        <f>F100</f>
        <v>8.767848566649554E-2</v>
      </c>
      <c r="G112" s="211">
        <f t="shared" si="8"/>
        <v>213.67246956924964</v>
      </c>
    </row>
    <row r="113" spans="1:7" x14ac:dyDescent="0.2">
      <c r="A113" s="224"/>
      <c r="B113" s="4" t="s">
        <v>134</v>
      </c>
      <c r="C113" s="8">
        <v>38782</v>
      </c>
      <c r="D113" s="9">
        <v>28027</v>
      </c>
      <c r="E113" s="9">
        <v>4480</v>
      </c>
      <c r="F113" s="210">
        <f>F101</f>
        <v>9.6420041623540662E-2</v>
      </c>
      <c r="G113" s="211">
        <f t="shared" si="8"/>
        <v>431.96178647346215</v>
      </c>
    </row>
    <row r="114" spans="1:7" x14ac:dyDescent="0.2">
      <c r="A114" s="224"/>
      <c r="B114" s="4" t="s">
        <v>136</v>
      </c>
      <c r="C114" s="8">
        <v>38811</v>
      </c>
      <c r="D114" s="9">
        <v>30998</v>
      </c>
      <c r="E114" s="9">
        <v>2971</v>
      </c>
      <c r="F114" s="210">
        <v>9.6879999999999994E-2</v>
      </c>
      <c r="G114" s="211">
        <f>E114*0.09688</f>
        <v>287.83047999999997</v>
      </c>
    </row>
    <row r="115" spans="1:7" x14ac:dyDescent="0.2">
      <c r="A115" s="224"/>
      <c r="B115" s="4" t="s">
        <v>138</v>
      </c>
      <c r="C115" s="8">
        <v>38838</v>
      </c>
      <c r="D115" s="9">
        <v>34514</v>
      </c>
      <c r="E115" s="9">
        <v>3516</v>
      </c>
      <c r="F115" s="210">
        <v>0.10269</v>
      </c>
      <c r="G115" s="211">
        <f>E115*0.10269</f>
        <v>361.05804000000001</v>
      </c>
    </row>
    <row r="116" spans="1:7" x14ac:dyDescent="0.2">
      <c r="A116" s="224"/>
      <c r="B116" s="4" t="s">
        <v>140</v>
      </c>
      <c r="C116" s="8">
        <v>38869</v>
      </c>
      <c r="D116" s="9">
        <v>37305</v>
      </c>
      <c r="E116" s="9">
        <v>2791</v>
      </c>
      <c r="F116" s="210">
        <v>0.12096</v>
      </c>
      <c r="G116" s="211">
        <f>E116*0.12096</f>
        <v>337.59935999999999</v>
      </c>
    </row>
    <row r="117" spans="1:7" x14ac:dyDescent="0.2">
      <c r="A117" s="224"/>
      <c r="B117" s="4" t="s">
        <v>141</v>
      </c>
      <c r="C117" s="8">
        <v>38896</v>
      </c>
      <c r="D117" s="9">
        <v>38173</v>
      </c>
      <c r="E117" s="9">
        <v>868</v>
      </c>
      <c r="F117" s="210">
        <v>0.11636932</v>
      </c>
      <c r="G117" s="211">
        <f>E117*0.11636932</f>
        <v>101.00856976</v>
      </c>
    </row>
    <row r="118" spans="1:7" x14ac:dyDescent="0.2">
      <c r="A118" s="224"/>
      <c r="B118" s="4" t="s">
        <v>142</v>
      </c>
      <c r="C118" s="8">
        <v>38925</v>
      </c>
      <c r="D118" s="9">
        <v>40181</v>
      </c>
      <c r="E118" s="9">
        <v>2008</v>
      </c>
      <c r="F118" s="210">
        <v>0.11636932</v>
      </c>
      <c r="G118" s="211">
        <f>E118*0.11636932</f>
        <v>233.66959456000001</v>
      </c>
    </row>
    <row r="119" spans="1:7" x14ac:dyDescent="0.2">
      <c r="A119" s="224"/>
      <c r="B119" s="4" t="s">
        <v>143</v>
      </c>
      <c r="C119" s="8">
        <v>38965</v>
      </c>
      <c r="D119" s="9">
        <v>42387</v>
      </c>
      <c r="E119" s="9">
        <v>2206</v>
      </c>
      <c r="F119" s="210">
        <v>0.11484</v>
      </c>
      <c r="G119" s="211">
        <f>E119*0.11484</f>
        <v>253.33704</v>
      </c>
    </row>
    <row r="120" spans="1:7" x14ac:dyDescent="0.2">
      <c r="A120" s="224"/>
      <c r="B120" s="4" t="s">
        <v>144</v>
      </c>
      <c r="C120" s="8">
        <v>38993</v>
      </c>
      <c r="D120" s="9">
        <v>43485</v>
      </c>
      <c r="E120" s="9">
        <v>1098</v>
      </c>
      <c r="F120" s="210">
        <v>0.12720000000000001</v>
      </c>
      <c r="G120" s="211">
        <f t="shared" ref="G120:G125" si="9">E120*F120</f>
        <v>139.66560000000001</v>
      </c>
    </row>
    <row r="121" spans="1:7" x14ac:dyDescent="0.2">
      <c r="A121" s="224"/>
      <c r="B121" s="4" t="s">
        <v>145</v>
      </c>
      <c r="C121" s="8">
        <v>39035</v>
      </c>
      <c r="D121" s="9">
        <v>44489</v>
      </c>
      <c r="E121" s="9">
        <v>1004</v>
      </c>
      <c r="F121" s="210">
        <v>0.1144</v>
      </c>
      <c r="G121" s="211">
        <f t="shared" si="9"/>
        <v>114.85760000000001</v>
      </c>
    </row>
    <row r="122" spans="1:7" x14ac:dyDescent="0.2">
      <c r="A122" s="224"/>
      <c r="B122" s="4" t="s">
        <v>146</v>
      </c>
      <c r="C122" s="8">
        <v>39056</v>
      </c>
      <c r="D122" s="9">
        <v>44895</v>
      </c>
      <c r="E122" s="9">
        <v>406</v>
      </c>
      <c r="F122" s="210">
        <v>8.9300000000000004E-2</v>
      </c>
      <c r="G122" s="211">
        <f t="shared" si="9"/>
        <v>36.255800000000001</v>
      </c>
    </row>
    <row r="123" spans="1:7" x14ac:dyDescent="0.2">
      <c r="A123" s="224"/>
      <c r="B123" s="4" t="s">
        <v>147</v>
      </c>
      <c r="C123" s="8">
        <v>38725</v>
      </c>
      <c r="D123" s="9">
        <v>45532</v>
      </c>
      <c r="E123" s="9">
        <v>632</v>
      </c>
      <c r="F123" s="210">
        <v>9.0713822001888572E-2</v>
      </c>
      <c r="G123" s="211">
        <f t="shared" si="9"/>
        <v>57.331135505193579</v>
      </c>
    </row>
    <row r="124" spans="1:7" x14ac:dyDescent="0.2">
      <c r="A124" s="223" t="s">
        <v>96</v>
      </c>
      <c r="B124" s="4" t="s">
        <v>133</v>
      </c>
      <c r="C124" s="8">
        <v>38747</v>
      </c>
      <c r="D124" s="9">
        <v>46264</v>
      </c>
      <c r="E124" s="9">
        <v>5067</v>
      </c>
      <c r="F124" s="210">
        <f>F112</f>
        <v>8.767848566649554E-2</v>
      </c>
      <c r="G124" s="211">
        <f t="shared" si="9"/>
        <v>444.26688687213289</v>
      </c>
    </row>
    <row r="125" spans="1:7" x14ac:dyDescent="0.2">
      <c r="A125" s="224"/>
      <c r="B125" s="4" t="s">
        <v>134</v>
      </c>
      <c r="C125" s="8">
        <v>38782</v>
      </c>
      <c r="D125" s="9">
        <v>55732</v>
      </c>
      <c r="E125" s="9">
        <v>9468</v>
      </c>
      <c r="F125" s="210">
        <f>F113</f>
        <v>9.6420041623540662E-2</v>
      </c>
      <c r="G125" s="211">
        <f t="shared" si="9"/>
        <v>912.90495409168295</v>
      </c>
    </row>
    <row r="126" spans="1:7" x14ac:dyDescent="0.2">
      <c r="A126" s="224"/>
      <c r="B126" s="4" t="s">
        <v>136</v>
      </c>
      <c r="C126" s="8">
        <v>38811</v>
      </c>
      <c r="D126" s="9">
        <v>62119</v>
      </c>
      <c r="E126" s="9">
        <v>6387</v>
      </c>
      <c r="F126" s="210">
        <v>9.6879999999999994E-2</v>
      </c>
      <c r="G126" s="211">
        <f>E126*0.09688</f>
        <v>618.77256</v>
      </c>
    </row>
    <row r="127" spans="1:7" x14ac:dyDescent="0.2">
      <c r="A127" s="224"/>
      <c r="B127" s="4" t="s">
        <v>138</v>
      </c>
      <c r="C127" s="8">
        <v>38838</v>
      </c>
      <c r="D127" s="9">
        <v>68913</v>
      </c>
      <c r="E127" s="9">
        <v>6794</v>
      </c>
      <c r="F127" s="210">
        <v>0.10269</v>
      </c>
      <c r="G127" s="211">
        <f>E127*0.10269</f>
        <v>697.67586000000006</v>
      </c>
    </row>
    <row r="128" spans="1:7" x14ac:dyDescent="0.2">
      <c r="A128" s="224"/>
      <c r="B128" s="4" t="s">
        <v>140</v>
      </c>
      <c r="C128" s="8">
        <v>38869</v>
      </c>
      <c r="D128" s="9">
        <v>73696</v>
      </c>
      <c r="E128" s="9">
        <v>4783</v>
      </c>
      <c r="F128" s="210">
        <v>0.12096</v>
      </c>
      <c r="G128" s="211">
        <f>E128*0.12096</f>
        <v>578.55168000000003</v>
      </c>
    </row>
    <row r="129" spans="1:7" x14ac:dyDescent="0.2">
      <c r="A129" s="224"/>
      <c r="B129" s="4" t="s">
        <v>141</v>
      </c>
      <c r="C129" s="8">
        <v>38896</v>
      </c>
      <c r="D129" s="9">
        <v>75679</v>
      </c>
      <c r="E129" s="9">
        <v>1983</v>
      </c>
      <c r="F129" s="210">
        <v>0.11636932</v>
      </c>
      <c r="G129" s="211">
        <f>E129*0.11636932</f>
        <v>230.76036156000001</v>
      </c>
    </row>
    <row r="130" spans="1:7" x14ac:dyDescent="0.2">
      <c r="A130" s="224"/>
      <c r="B130" s="4" t="s">
        <v>142</v>
      </c>
      <c r="C130" s="8">
        <v>38925</v>
      </c>
      <c r="D130" s="9">
        <v>79130</v>
      </c>
      <c r="E130" s="9">
        <v>3451</v>
      </c>
      <c r="F130" s="210">
        <v>0.11636932</v>
      </c>
      <c r="G130" s="211">
        <f>E130*0.11636932</f>
        <v>401.59052331999999</v>
      </c>
    </row>
    <row r="131" spans="1:7" x14ac:dyDescent="0.2">
      <c r="A131" s="224"/>
      <c r="B131" s="4" t="s">
        <v>143</v>
      </c>
      <c r="C131" s="8">
        <v>38965</v>
      </c>
      <c r="D131" s="9">
        <v>84495</v>
      </c>
      <c r="E131" s="9">
        <v>5365</v>
      </c>
      <c r="F131" s="210">
        <v>0.11484</v>
      </c>
      <c r="G131" s="211">
        <f>E131*0.11484</f>
        <v>616.11659999999995</v>
      </c>
    </row>
    <row r="132" spans="1:7" x14ac:dyDescent="0.2">
      <c r="A132" s="224"/>
      <c r="B132" s="4" t="s">
        <v>144</v>
      </c>
      <c r="C132" s="8">
        <v>38993</v>
      </c>
      <c r="D132" s="9">
        <v>87892</v>
      </c>
      <c r="E132" s="9">
        <v>3397</v>
      </c>
      <c r="F132" s="210">
        <v>0.12720000000000001</v>
      </c>
      <c r="G132" s="211">
        <f>E132*F132</f>
        <v>432.09840000000003</v>
      </c>
    </row>
    <row r="133" spans="1:7" x14ac:dyDescent="0.2">
      <c r="A133" s="224"/>
      <c r="B133" s="4" t="s">
        <v>145</v>
      </c>
      <c r="C133" s="8">
        <v>39035</v>
      </c>
      <c r="D133" s="9">
        <v>92145</v>
      </c>
      <c r="E133" s="9">
        <v>4253</v>
      </c>
      <c r="F133" s="210">
        <v>0.1144</v>
      </c>
      <c r="G133" s="211">
        <f>E133*F133</f>
        <v>486.54320000000001</v>
      </c>
    </row>
    <row r="134" spans="1:7" x14ac:dyDescent="0.2">
      <c r="A134" s="224"/>
      <c r="B134" s="4" t="s">
        <v>146</v>
      </c>
      <c r="C134" s="8">
        <v>39056</v>
      </c>
      <c r="D134" s="9">
        <v>94587</v>
      </c>
      <c r="E134" s="9">
        <v>2442</v>
      </c>
      <c r="F134" s="210">
        <v>8.9300000000000004E-2</v>
      </c>
      <c r="G134" s="211">
        <f>E134*F134</f>
        <v>218.07060000000001</v>
      </c>
    </row>
    <row r="135" spans="1:7" x14ac:dyDescent="0.2">
      <c r="A135" s="224"/>
      <c r="B135" s="4" t="s">
        <v>147</v>
      </c>
      <c r="C135" s="8">
        <v>38725</v>
      </c>
      <c r="D135" s="9">
        <v>98476</v>
      </c>
      <c r="E135" s="9">
        <v>3889</v>
      </c>
      <c r="F135" s="210">
        <v>9.0713822001888572E-2</v>
      </c>
      <c r="G135" s="211">
        <f>E135*F135</f>
        <v>352.78605376534466</v>
      </c>
    </row>
    <row r="136" spans="1:7" x14ac:dyDescent="0.2">
      <c r="G136" s="213"/>
    </row>
    <row r="137" spans="1:7" x14ac:dyDescent="0.2">
      <c r="A137" s="5" t="s">
        <v>34</v>
      </c>
      <c r="G137" s="213"/>
    </row>
    <row r="138" spans="1:7" x14ac:dyDescent="0.2">
      <c r="A138" s="5" t="s">
        <v>69</v>
      </c>
      <c r="G138" s="213"/>
    </row>
    <row r="139" spans="1:7" x14ac:dyDescent="0.2">
      <c r="A139" s="5"/>
      <c r="G139" s="213"/>
    </row>
    <row r="140" spans="1:7" x14ac:dyDescent="0.2">
      <c r="G140" s="213"/>
    </row>
    <row r="141" spans="1:7" x14ac:dyDescent="0.2">
      <c r="G141" s="213"/>
    </row>
    <row r="142" spans="1:7" x14ac:dyDescent="0.2">
      <c r="G142" s="213"/>
    </row>
    <row r="143" spans="1:7" x14ac:dyDescent="0.2">
      <c r="G143" s="213"/>
    </row>
    <row r="144" spans="1:7" x14ac:dyDescent="0.2">
      <c r="G144" s="213"/>
    </row>
    <row r="145" spans="7:7" x14ac:dyDescent="0.2">
      <c r="G145" s="213"/>
    </row>
    <row r="146" spans="7:7" x14ac:dyDescent="0.2">
      <c r="G146" s="213"/>
    </row>
    <row r="147" spans="7:7" x14ac:dyDescent="0.2">
      <c r="G147" s="213"/>
    </row>
    <row r="148" spans="7:7" x14ac:dyDescent="0.2">
      <c r="G148" s="213"/>
    </row>
    <row r="149" spans="7:7" x14ac:dyDescent="0.2">
      <c r="G149" s="213"/>
    </row>
    <row r="150" spans="7:7" x14ac:dyDescent="0.2">
      <c r="G150" s="213"/>
    </row>
    <row r="151" spans="7:7" x14ac:dyDescent="0.2">
      <c r="G151" s="213"/>
    </row>
    <row r="152" spans="7:7" x14ac:dyDescent="0.2">
      <c r="G152" s="213"/>
    </row>
    <row r="153" spans="7:7" x14ac:dyDescent="0.2">
      <c r="G153" s="213"/>
    </row>
    <row r="154" spans="7:7" x14ac:dyDescent="0.2">
      <c r="G154" s="213"/>
    </row>
    <row r="155" spans="7:7" x14ac:dyDescent="0.2">
      <c r="G155" s="213"/>
    </row>
    <row r="156" spans="7:7" x14ac:dyDescent="0.2">
      <c r="G156" s="213"/>
    </row>
    <row r="157" spans="7:7" x14ac:dyDescent="0.2">
      <c r="G157" s="213"/>
    </row>
    <row r="158" spans="7:7" x14ac:dyDescent="0.2">
      <c r="G158" s="213"/>
    </row>
    <row r="159" spans="7:7" x14ac:dyDescent="0.2">
      <c r="G159" s="213"/>
    </row>
    <row r="160" spans="7:7" x14ac:dyDescent="0.2">
      <c r="G160" s="213"/>
    </row>
    <row r="161" spans="7:7" x14ac:dyDescent="0.2">
      <c r="G161" s="213"/>
    </row>
    <row r="162" spans="7:7" x14ac:dyDescent="0.2">
      <c r="G162" s="213"/>
    </row>
    <row r="163" spans="7:7" x14ac:dyDescent="0.2">
      <c r="G163" s="213"/>
    </row>
    <row r="164" spans="7:7" x14ac:dyDescent="0.2">
      <c r="G164" s="213"/>
    </row>
    <row r="165" spans="7:7" x14ac:dyDescent="0.2">
      <c r="G165" s="213"/>
    </row>
    <row r="166" spans="7:7" x14ac:dyDescent="0.2">
      <c r="G166" s="213"/>
    </row>
    <row r="167" spans="7:7" x14ac:dyDescent="0.2">
      <c r="G167" s="213"/>
    </row>
    <row r="168" spans="7:7" x14ac:dyDescent="0.2">
      <c r="G168" s="213"/>
    </row>
    <row r="169" spans="7:7" x14ac:dyDescent="0.2">
      <c r="G169" s="213"/>
    </row>
    <row r="170" spans="7:7" x14ac:dyDescent="0.2">
      <c r="G170" s="213"/>
    </row>
    <row r="171" spans="7:7" x14ac:dyDescent="0.2">
      <c r="G171" s="213"/>
    </row>
    <row r="172" spans="7:7" x14ac:dyDescent="0.2">
      <c r="G172" s="213"/>
    </row>
    <row r="173" spans="7:7" x14ac:dyDescent="0.2">
      <c r="G173" s="213"/>
    </row>
    <row r="174" spans="7:7" x14ac:dyDescent="0.2">
      <c r="G174" s="213"/>
    </row>
    <row r="175" spans="7:7" x14ac:dyDescent="0.2">
      <c r="G175" s="213"/>
    </row>
    <row r="176" spans="7:7" x14ac:dyDescent="0.2">
      <c r="G176" s="213"/>
    </row>
    <row r="177" spans="7:7" x14ac:dyDescent="0.2">
      <c r="G177" s="213"/>
    </row>
    <row r="178" spans="7:7" x14ac:dyDescent="0.2">
      <c r="G178" s="213"/>
    </row>
    <row r="179" spans="7:7" x14ac:dyDescent="0.2">
      <c r="G179" s="213"/>
    </row>
    <row r="180" spans="7:7" x14ac:dyDescent="0.2">
      <c r="G180" s="213"/>
    </row>
    <row r="181" spans="7:7" x14ac:dyDescent="0.2">
      <c r="G181" s="213"/>
    </row>
    <row r="182" spans="7:7" x14ac:dyDescent="0.2">
      <c r="G182" s="213"/>
    </row>
    <row r="183" spans="7:7" x14ac:dyDescent="0.2">
      <c r="G183" s="213"/>
    </row>
    <row r="184" spans="7:7" x14ac:dyDescent="0.2">
      <c r="G184" s="213"/>
    </row>
    <row r="185" spans="7:7" x14ac:dyDescent="0.2">
      <c r="G185" s="213"/>
    </row>
    <row r="186" spans="7:7" x14ac:dyDescent="0.2">
      <c r="G186" s="213"/>
    </row>
    <row r="187" spans="7:7" x14ac:dyDescent="0.2">
      <c r="G187" s="213"/>
    </row>
    <row r="188" spans="7:7" x14ac:dyDescent="0.2">
      <c r="G188" s="213"/>
    </row>
    <row r="189" spans="7:7" x14ac:dyDescent="0.2">
      <c r="G189" s="213"/>
    </row>
    <row r="190" spans="7:7" x14ac:dyDescent="0.2">
      <c r="G190" s="213"/>
    </row>
    <row r="191" spans="7:7" x14ac:dyDescent="0.2">
      <c r="G191" s="213"/>
    </row>
    <row r="192" spans="7:7" x14ac:dyDescent="0.2">
      <c r="G192" s="213"/>
    </row>
    <row r="193" spans="7:7" x14ac:dyDescent="0.2">
      <c r="G193" s="213"/>
    </row>
    <row r="194" spans="7:7" x14ac:dyDescent="0.2">
      <c r="G194" s="213"/>
    </row>
    <row r="195" spans="7:7" x14ac:dyDescent="0.2">
      <c r="G195" s="213"/>
    </row>
    <row r="196" spans="7:7" x14ac:dyDescent="0.2">
      <c r="G196" s="213"/>
    </row>
    <row r="197" spans="7:7" x14ac:dyDescent="0.2">
      <c r="G197" s="213"/>
    </row>
    <row r="198" spans="7:7" x14ac:dyDescent="0.2">
      <c r="G198" s="213"/>
    </row>
    <row r="199" spans="7:7" x14ac:dyDescent="0.2">
      <c r="G199" s="213"/>
    </row>
    <row r="200" spans="7:7" x14ac:dyDescent="0.2">
      <c r="G200" s="213"/>
    </row>
    <row r="201" spans="7:7" x14ac:dyDescent="0.2">
      <c r="G201" s="213"/>
    </row>
    <row r="202" spans="7:7" x14ac:dyDescent="0.2">
      <c r="G202" s="213"/>
    </row>
    <row r="203" spans="7:7" x14ac:dyDescent="0.2">
      <c r="G203" s="213"/>
    </row>
    <row r="204" spans="7:7" x14ac:dyDescent="0.2">
      <c r="G204" s="213"/>
    </row>
    <row r="205" spans="7:7" x14ac:dyDescent="0.2">
      <c r="G205" s="213"/>
    </row>
    <row r="206" spans="7:7" x14ac:dyDescent="0.2">
      <c r="G206" s="213"/>
    </row>
    <row r="207" spans="7:7" x14ac:dyDescent="0.2">
      <c r="G207" s="213"/>
    </row>
    <row r="208" spans="7:7" x14ac:dyDescent="0.2">
      <c r="G208" s="213"/>
    </row>
  </sheetData>
  <mergeCells count="11">
    <mergeCell ref="A4:A15"/>
    <mergeCell ref="A100:A111"/>
    <mergeCell ref="A112:A123"/>
    <mergeCell ref="A124:A135"/>
    <mergeCell ref="A16:A27"/>
    <mergeCell ref="A52:A63"/>
    <mergeCell ref="A64:A75"/>
    <mergeCell ref="A76:A87"/>
    <mergeCell ref="A88:A99"/>
    <mergeCell ref="A40:A51"/>
    <mergeCell ref="A28:A39"/>
  </mergeCells>
  <printOptions horizontalCentered="1"/>
  <pageMargins left="0.25" right="0.25" top="0.5" bottom="0.5" header="0.5" footer="0.5"/>
  <pageSetup fitToHeight="5" orientation="portrait"/>
  <headerFooter alignWithMargins="0">
    <oddFooter>&amp;C&amp;P of &amp;N</oddFooter>
  </headerFooter>
  <rowBreaks count="2" manualBreakCount="2">
    <brk id="51" max="16383" man="1"/>
    <brk id="9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13" sqref="A13:A21"/>
    </sheetView>
  </sheetViews>
  <sheetFormatPr defaultColWidth="10.7109375" defaultRowHeight="12.75" x14ac:dyDescent="0.2"/>
  <cols>
    <col min="1" max="1" width="25.140625" style="18" customWidth="1"/>
    <col min="2" max="2" width="11" style="18" bestFit="1" customWidth="1"/>
    <col min="3" max="8" width="12.85546875" style="18" customWidth="1"/>
    <col min="9" max="9" width="20.7109375" style="18" customWidth="1"/>
    <col min="10" max="10" width="10.7109375" style="18" customWidth="1"/>
    <col min="11" max="11" width="17.7109375" style="18" customWidth="1"/>
    <col min="12" max="12" width="10.7109375" style="18" customWidth="1"/>
    <col min="13" max="16384" width="10.7109375" style="18"/>
  </cols>
  <sheetData>
    <row r="1" spans="1:11" s="44" customFormat="1" ht="15.75" customHeight="1" x14ac:dyDescent="0.25">
      <c r="A1" s="21" t="s">
        <v>148</v>
      </c>
      <c r="C1" s="10"/>
    </row>
    <row r="2" spans="1:11" s="44" customFormat="1" x14ac:dyDescent="0.2"/>
    <row r="3" spans="1:11" s="19" customFormat="1" ht="24" customHeight="1" x14ac:dyDescent="0.2">
      <c r="A3" s="24" t="s">
        <v>3</v>
      </c>
      <c r="B3" s="25" t="s">
        <v>4</v>
      </c>
      <c r="C3" s="24" t="s">
        <v>149</v>
      </c>
      <c r="D3" s="24" t="s">
        <v>150</v>
      </c>
      <c r="E3" s="24" t="s">
        <v>78</v>
      </c>
      <c r="F3" s="24" t="s">
        <v>75</v>
      </c>
      <c r="G3" s="24" t="s">
        <v>72</v>
      </c>
      <c r="H3" s="24" t="s">
        <v>50</v>
      </c>
    </row>
    <row r="4" spans="1:11" x14ac:dyDescent="0.2">
      <c r="A4" s="225" t="s">
        <v>151</v>
      </c>
      <c r="B4" s="26" t="s">
        <v>115</v>
      </c>
      <c r="C4" s="27">
        <v>38838</v>
      </c>
      <c r="D4" s="28">
        <v>48534</v>
      </c>
      <c r="E4" s="28">
        <v>53936</v>
      </c>
      <c r="F4" s="28">
        <f t="shared" ref="F4:F21" si="0">E4-D4</f>
        <v>5402</v>
      </c>
      <c r="G4" s="28"/>
      <c r="H4" s="214">
        <f>F4*0.98934</f>
        <v>5344.4146799999999</v>
      </c>
    </row>
    <row r="5" spans="1:11" x14ac:dyDescent="0.2">
      <c r="A5" s="226"/>
      <c r="B5" s="29" t="s">
        <v>116</v>
      </c>
      <c r="C5" s="27">
        <v>38869</v>
      </c>
      <c r="D5" s="28">
        <v>53936</v>
      </c>
      <c r="E5" s="28">
        <v>57534</v>
      </c>
      <c r="F5" s="28">
        <f t="shared" si="0"/>
        <v>3598</v>
      </c>
      <c r="G5" s="28"/>
      <c r="H5" s="214">
        <f>F5*0.97388</f>
        <v>3504.0202399999998</v>
      </c>
    </row>
    <row r="6" spans="1:11" x14ac:dyDescent="0.2">
      <c r="A6" s="226"/>
      <c r="B6" s="29" t="s">
        <v>117</v>
      </c>
      <c r="C6" s="27">
        <v>38896</v>
      </c>
      <c r="D6" s="28">
        <v>57534</v>
      </c>
      <c r="E6" s="28">
        <v>59617</v>
      </c>
      <c r="F6" s="28">
        <f t="shared" si="0"/>
        <v>2083</v>
      </c>
      <c r="G6" s="28"/>
      <c r="H6" s="214">
        <f>F6*0.81874</f>
        <v>1705.43542</v>
      </c>
    </row>
    <row r="7" spans="1:11" x14ac:dyDescent="0.2">
      <c r="A7" s="226"/>
      <c r="B7" s="29" t="s">
        <v>118</v>
      </c>
      <c r="C7" s="27">
        <v>38925</v>
      </c>
      <c r="D7" s="28">
        <v>59617</v>
      </c>
      <c r="E7" s="28">
        <v>61755</v>
      </c>
      <c r="F7" s="28">
        <f t="shared" si="0"/>
        <v>2138</v>
      </c>
      <c r="G7" s="28"/>
      <c r="H7" s="214">
        <f>F7*0.82277</f>
        <v>1759.0822599999999</v>
      </c>
    </row>
    <row r="8" spans="1:11" x14ac:dyDescent="0.2">
      <c r="A8" s="226"/>
      <c r="B8" s="29" t="s">
        <v>119</v>
      </c>
      <c r="C8" s="27">
        <v>38965</v>
      </c>
      <c r="D8" s="28">
        <v>61755</v>
      </c>
      <c r="E8" s="28">
        <v>64169</v>
      </c>
      <c r="F8" s="28">
        <f t="shared" si="0"/>
        <v>2414</v>
      </c>
      <c r="G8" s="28"/>
      <c r="H8" s="214">
        <f>F8*0.88001</f>
        <v>2124.3441399999997</v>
      </c>
    </row>
    <row r="9" spans="1:11" x14ac:dyDescent="0.2">
      <c r="A9" s="226"/>
      <c r="B9" s="29" t="s">
        <v>120</v>
      </c>
      <c r="C9" s="27">
        <v>38993</v>
      </c>
      <c r="D9" s="28">
        <f>E8</f>
        <v>64169</v>
      </c>
      <c r="E9" s="28">
        <v>67411</v>
      </c>
      <c r="F9" s="28">
        <f t="shared" si="0"/>
        <v>3242</v>
      </c>
      <c r="G9" s="215">
        <v>0.91320000000000001</v>
      </c>
      <c r="H9" s="214">
        <f>F9*G9</f>
        <v>2960.5944</v>
      </c>
    </row>
    <row r="10" spans="1:11" x14ac:dyDescent="0.2">
      <c r="A10" s="226"/>
      <c r="B10" s="29" t="s">
        <v>121</v>
      </c>
      <c r="C10" s="27">
        <v>39035</v>
      </c>
      <c r="D10" s="28">
        <f>E9</f>
        <v>67411</v>
      </c>
      <c r="E10" s="28">
        <v>73404</v>
      </c>
      <c r="F10" s="28">
        <f t="shared" si="0"/>
        <v>5993</v>
      </c>
      <c r="G10" s="215">
        <v>0.75209999999999999</v>
      </c>
      <c r="H10" s="214">
        <f>F10*G10</f>
        <v>4507.3352999999997</v>
      </c>
    </row>
    <row r="11" spans="1:11" x14ac:dyDescent="0.2">
      <c r="A11" s="226"/>
      <c r="B11" s="29" t="s">
        <v>122</v>
      </c>
      <c r="C11" s="8">
        <v>39056</v>
      </c>
      <c r="D11" s="28">
        <f>E10</f>
        <v>73404</v>
      </c>
      <c r="E11" s="28">
        <v>77739</v>
      </c>
      <c r="F11" s="28">
        <f t="shared" si="0"/>
        <v>4335</v>
      </c>
      <c r="G11" s="215">
        <v>1.0068999999999999</v>
      </c>
      <c r="H11" s="214">
        <f>F11*G11</f>
        <v>4364.9114999999993</v>
      </c>
    </row>
    <row r="12" spans="1:11" x14ac:dyDescent="0.2">
      <c r="A12" s="226"/>
      <c r="B12" s="29" t="s">
        <v>123</v>
      </c>
      <c r="C12" s="8">
        <v>38725</v>
      </c>
      <c r="D12" s="28">
        <f>E11</f>
        <v>77739</v>
      </c>
      <c r="E12" s="28">
        <v>83671</v>
      </c>
      <c r="F12" s="28">
        <f t="shared" si="0"/>
        <v>5932</v>
      </c>
      <c r="G12" s="215">
        <v>0.92145356190772698</v>
      </c>
      <c r="H12" s="214">
        <f>F12*G12</f>
        <v>5466.0625292366367</v>
      </c>
    </row>
    <row r="13" spans="1:11" x14ac:dyDescent="0.2">
      <c r="A13" s="227" t="s">
        <v>77</v>
      </c>
      <c r="B13" s="26" t="s">
        <v>115</v>
      </c>
      <c r="C13" s="27">
        <v>38838</v>
      </c>
      <c r="D13" s="30">
        <v>2444</v>
      </c>
      <c r="E13" s="30">
        <v>2778</v>
      </c>
      <c r="F13" s="30">
        <f t="shared" si="0"/>
        <v>334</v>
      </c>
      <c r="G13" s="30"/>
      <c r="H13" s="214">
        <f>F13*0.98934</f>
        <v>330.43955999999997</v>
      </c>
    </row>
    <row r="14" spans="1:11" x14ac:dyDescent="0.2">
      <c r="A14" s="226"/>
      <c r="B14" s="29" t="s">
        <v>116</v>
      </c>
      <c r="C14" s="27">
        <v>38869</v>
      </c>
      <c r="D14" s="30">
        <v>2778</v>
      </c>
      <c r="E14" s="28">
        <v>2978</v>
      </c>
      <c r="F14" s="28">
        <f t="shared" si="0"/>
        <v>200</v>
      </c>
      <c r="G14" s="28"/>
      <c r="H14" s="214">
        <f>F14*0.97388</f>
        <v>194.77599999999998</v>
      </c>
    </row>
    <row r="15" spans="1:11" x14ac:dyDescent="0.2">
      <c r="A15" s="226"/>
      <c r="B15" s="29" t="s">
        <v>117</v>
      </c>
      <c r="C15" s="27">
        <v>38896</v>
      </c>
      <c r="D15" s="28">
        <v>2978</v>
      </c>
      <c r="E15" s="28">
        <v>3019</v>
      </c>
      <c r="F15" s="28">
        <f t="shared" si="0"/>
        <v>41</v>
      </c>
      <c r="G15" s="28"/>
      <c r="H15" s="214">
        <f>F15*0.81874</f>
        <v>33.568339999999999</v>
      </c>
      <c r="I15" s="20"/>
      <c r="K15" s="216"/>
    </row>
    <row r="16" spans="1:11" x14ac:dyDescent="0.2">
      <c r="A16" s="226"/>
      <c r="B16" s="29" t="s">
        <v>118</v>
      </c>
      <c r="C16" s="27">
        <v>38925</v>
      </c>
      <c r="D16" s="28">
        <v>3019</v>
      </c>
      <c r="E16" s="28">
        <v>3061</v>
      </c>
      <c r="F16" s="28">
        <f t="shared" si="0"/>
        <v>42</v>
      </c>
      <c r="G16" s="28"/>
      <c r="H16" s="214">
        <f>F16*0.82277</f>
        <v>34.556339999999999</v>
      </c>
      <c r="I16" s="20"/>
      <c r="K16" s="216"/>
    </row>
    <row r="17" spans="1:8" x14ac:dyDescent="0.2">
      <c r="A17" s="226"/>
      <c r="B17" s="29" t="s">
        <v>119</v>
      </c>
      <c r="C17" s="27">
        <v>38965</v>
      </c>
      <c r="D17" s="28">
        <v>3061</v>
      </c>
      <c r="E17" s="28">
        <v>3162</v>
      </c>
      <c r="F17" s="28">
        <f t="shared" si="0"/>
        <v>101</v>
      </c>
      <c r="G17" s="28"/>
      <c r="H17" s="214">
        <f>F17*0.88001</f>
        <v>88.881009999999989</v>
      </c>
    </row>
    <row r="18" spans="1:8" x14ac:dyDescent="0.2">
      <c r="A18" s="226"/>
      <c r="B18" s="29" t="s">
        <v>120</v>
      </c>
      <c r="C18" s="27">
        <v>38993</v>
      </c>
      <c r="D18" s="28">
        <f>E17</f>
        <v>3162</v>
      </c>
      <c r="E18" s="28">
        <v>3391</v>
      </c>
      <c r="F18" s="28">
        <f t="shared" si="0"/>
        <v>229</v>
      </c>
      <c r="G18" s="215">
        <v>0.91320000000000001</v>
      </c>
      <c r="H18" s="214">
        <f>F18*G18</f>
        <v>209.12280000000001</v>
      </c>
    </row>
    <row r="19" spans="1:8" x14ac:dyDescent="0.2">
      <c r="A19" s="226"/>
      <c r="B19" s="29" t="s">
        <v>121</v>
      </c>
      <c r="C19" s="27">
        <v>39035</v>
      </c>
      <c r="D19" s="28">
        <f>E18</f>
        <v>3391</v>
      </c>
      <c r="E19" s="28">
        <v>3708</v>
      </c>
      <c r="F19" s="28">
        <f t="shared" si="0"/>
        <v>317</v>
      </c>
      <c r="G19" s="215">
        <v>0.75209999999999999</v>
      </c>
      <c r="H19" s="214">
        <f>F19*G19</f>
        <v>238.41569999999999</v>
      </c>
    </row>
    <row r="20" spans="1:8" x14ac:dyDescent="0.2">
      <c r="A20" s="226"/>
      <c r="B20" s="29" t="s">
        <v>122</v>
      </c>
      <c r="C20" s="8">
        <v>39056</v>
      </c>
      <c r="D20" s="28">
        <f>E19</f>
        <v>3708</v>
      </c>
      <c r="E20" s="28">
        <v>3890</v>
      </c>
      <c r="F20" s="28">
        <f t="shared" si="0"/>
        <v>182</v>
      </c>
      <c r="G20" s="215">
        <v>1.0068999999999999</v>
      </c>
      <c r="H20" s="214">
        <f>F20*G20</f>
        <v>183.25579999999999</v>
      </c>
    </row>
    <row r="21" spans="1:8" x14ac:dyDescent="0.2">
      <c r="A21" s="226"/>
      <c r="B21" s="29" t="s">
        <v>123</v>
      </c>
      <c r="C21" s="8">
        <v>38725</v>
      </c>
      <c r="D21" s="28">
        <f>E20</f>
        <v>3890</v>
      </c>
      <c r="E21" s="217">
        <v>4075</v>
      </c>
      <c r="F21" s="28">
        <f t="shared" si="0"/>
        <v>185</v>
      </c>
      <c r="G21" s="215">
        <v>0.92145356190772698</v>
      </c>
      <c r="H21" s="214">
        <f>F21*G21</f>
        <v>170.4689089529295</v>
      </c>
    </row>
    <row r="23" spans="1:8" x14ac:dyDescent="0.2">
      <c r="A23" s="5" t="s">
        <v>34</v>
      </c>
    </row>
    <row r="24" spans="1:8" x14ac:dyDescent="0.2">
      <c r="A24" s="5" t="s">
        <v>83</v>
      </c>
    </row>
  </sheetData>
  <mergeCells count="2">
    <mergeCell ref="A4:A12"/>
    <mergeCell ref="A13:A21"/>
  </mergeCells>
  <pageMargins left="0.5" right="0.5" top="0.5" bottom="0.25" header="0.5" footer="0.5"/>
  <pageSetup orientation="landscape"/>
  <headerFooter alignWithMargins="0">
    <oddFooter>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Load Shape</vt:lpstr>
      <vt:lpstr>Utility Summary</vt:lpstr>
      <vt:lpstr>Electricity</vt:lpstr>
      <vt:lpstr>Gas</vt:lpstr>
      <vt:lpstr>Water</vt:lpstr>
      <vt:lpstr>Field Form</vt:lpstr>
      <vt:lpstr>Utilities Summary Old </vt:lpstr>
      <vt:lpstr>Electric old</vt:lpstr>
      <vt:lpstr>Gas Old</vt:lpstr>
      <vt:lpstr>Water Old</vt:lpstr>
      <vt:lpstr>Chilled Water</vt:lpstr>
      <vt:lpstr>'Utilities Summary Old '!Print_Area</vt:lpstr>
      <vt:lpstr>'Utility Summary'!Print_Area</vt:lpstr>
      <vt:lpstr>'Water Old'!Print_Area</vt:lpstr>
      <vt:lpstr>'Electric old'!Print_Titles</vt:lpstr>
      <vt:lpstr>'Utilities Summary Old '!Print_Titles</vt:lpstr>
      <vt:lpstr>'Water Old'!Print_Titles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Olson;Picazo</dc:creator>
  <cp:lastModifiedBy>ucmuser</cp:lastModifiedBy>
  <cp:lastPrinted>2016-08-26T18:13:09Z</cp:lastPrinted>
  <dcterms:created xsi:type="dcterms:W3CDTF">2005-09-26T20:22:28Z</dcterms:created>
  <dcterms:modified xsi:type="dcterms:W3CDTF">2018-05-01T22:34:13Z</dcterms:modified>
</cp:coreProperties>
</file>