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6.xml"/>
  <Override ContentType="application/vnd.openxmlformats-officedocument.spreadsheetml.worksheet+xml" PartName="/xl/worksheets/sheet11.xml"/>
  <Override ContentType="application/vnd.openxmlformats-officedocument.spreadsheetml.comments+xml" PartName="/xl/comments/commen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685" visibility="visible" windowHeight="7935" windowWidth="10110" xWindow="0" yWindow="0"/>
  </bookViews>
  <sheets>
    <sheet name="Load Shape" sheetId="1" state="hidden" r:id="rId1"/>
    <sheet name="Utility Summary" sheetId="2" state="visible" r:id="rId2"/>
    <sheet name="Electricity" sheetId="3" state="visible" r:id="rId3"/>
    <sheet name="Gas" sheetId="4" state="visible" r:id="rId4"/>
    <sheet name="Water" sheetId="5" state="visible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state="visible" r:id="rId11"/>
  </sheets>
  <externalReferences>
    <externalReference r:id="rId12"/>
    <externalReference r:id="rId13"/>
    <externalReference r:id="rId14"/>
  </externalReferences>
  <definedNames>
    <definedName hidden="1" localSheetId="10" name="Z_10A73640_EEC6_41E7_B502_1530CC038C4B_.wvu.Cols">'Chilled Water'!$C:$G,'Chilled Water'!$I:$P</definedName>
    <definedName hidden="1" localSheetId="2" name="Z_10A73640_EEC6_41E7_B502_1530CC038C4B_.wvu.Cols">Electricity!$C:$G,Electricity!$I:$O</definedName>
    <definedName hidden="1" localSheetId="3" name="Z_10A73640_EEC6_41E7_B502_1530CC038C4B_.wvu.Cols">Gas!$I:$P</definedName>
    <definedName hidden="1" localSheetId="1" name="Z_10A73640_EEC6_41E7_B502_1530CC038C4B_.wvu.Cols">'Utility Summary'!$C:$G,'Utility Summary'!$I:$P</definedName>
    <definedName hidden="1" localSheetId="4" name="Z_10A73640_EEC6_41E7_B502_1530CC038C4B_.wvu.Cols">Water!$C:$G,Water!$I:$P</definedName>
    <definedName hidden="1" localSheetId="6" name="Z_10A73640_EEC6_41E7_B502_1530CC038C4B_.wvu.PrintArea">'Utilities Summary Old '!$A$1:$G$159</definedName>
    <definedName hidden="1" localSheetId="1" name="Z_10A73640_EEC6_41E7_B502_1530CC038C4B_.wvu.PrintArea">'Utility Summary'!$A$1:$U$89</definedName>
    <definedName hidden="1" localSheetId="9" name="Z_10A73640_EEC6_41E7_B502_1530CC038C4B_.wvu.PrintArea">'Water Old'!$A$1:$G$141</definedName>
    <definedName hidden="1" localSheetId="7" name="Z_10A73640_EEC6_41E7_B502_1530CC038C4B_.wvu.PrintTitles">'Electric old'!$1:$3</definedName>
    <definedName hidden="1" localSheetId="6" name="Z_10A73640_EEC6_41E7_B502_1530CC038C4B_.wvu.PrintTitles">'Utilities Summary Old '!$1:$3</definedName>
    <definedName hidden="1" localSheetId="9" name="Z_10A73640_EEC6_41E7_B502_1530CC038C4B_.wvu.PrintTitles">'Water Old'!$1:$3</definedName>
    <definedName hidden="1" localSheetId="3" name="Z_10A73640_EEC6_41E7_B502_1530CC038C4B_.wvu.Rows">Gas!$38:$41</definedName>
    <definedName hidden="1" localSheetId="1" name="Z_10A73640_EEC6_41E7_B502_1530CC038C4B_.wvu.Rows">'Utility Summary'!$72:$76</definedName>
    <definedName hidden="1" localSheetId="10" name="Z_507E6E96_4EC3_4333_BE0D_BDD19D4BA57B_.wvu.Cols">'Chilled Water'!$C:$I,'Chilled Water'!$K:$P</definedName>
    <definedName hidden="1" localSheetId="2" name="Z_507E6E96_4EC3_4333_BE0D_BDD19D4BA57B_.wvu.Cols">Electricity!$C:$I,Electricity!$K:$P</definedName>
    <definedName hidden="1" localSheetId="3" name="Z_507E6E96_4EC3_4333_BE0D_BDD19D4BA57B_.wvu.Cols">Gas!$C:$I,Gas!$K:$P</definedName>
    <definedName hidden="1" localSheetId="1" name="Z_507E6E96_4EC3_4333_BE0D_BDD19D4BA57B_.wvu.Cols">'Utility Summary'!$C:$I,'Utility Summary'!$K:$P</definedName>
    <definedName hidden="1" localSheetId="4" name="Z_507E6E96_4EC3_4333_BE0D_BDD19D4BA57B_.wvu.Cols">Water!$C:$I,Water!$K:$P</definedName>
    <definedName hidden="1" localSheetId="6" name="Z_507E6E96_4EC3_4333_BE0D_BDD19D4BA57B_.wvu.PrintArea">'Utilities Summary Old '!$A$1:$G$159</definedName>
    <definedName hidden="1" localSheetId="1" name="Z_507E6E96_4EC3_4333_BE0D_BDD19D4BA57B_.wvu.PrintArea">'Utility Summary'!$A$1:$U$89</definedName>
    <definedName hidden="1" localSheetId="9" name="Z_507E6E96_4EC3_4333_BE0D_BDD19D4BA57B_.wvu.PrintArea">'Water Old'!$A$1:$G$141</definedName>
    <definedName hidden="1" localSheetId="7" name="Z_507E6E96_4EC3_4333_BE0D_BDD19D4BA57B_.wvu.PrintTitles">'Electric old'!$1:$3</definedName>
    <definedName hidden="1" localSheetId="6" name="Z_507E6E96_4EC3_4333_BE0D_BDD19D4BA57B_.wvu.PrintTitles">'Utilities Summary Old '!$1:$3</definedName>
    <definedName hidden="1" localSheetId="9" name="Z_507E6E96_4EC3_4333_BE0D_BDD19D4BA57B_.wvu.PrintTitles">'Water Old'!$1:$3</definedName>
    <definedName hidden="1" localSheetId="3" name="Z_507E6E96_4EC3_4333_BE0D_BDD19D4BA57B_.wvu.Rows">Gas!$38:$41</definedName>
    <definedName hidden="1" localSheetId="1" name="Z_507E6E96_4EC3_4333_BE0D_BDD19D4BA57B_.wvu.Rows">'Utility Summary'!$72:$76</definedName>
    <definedName hidden="1" localSheetId="10" name="Z_7E611BF3_29F9_42C0_9604_1424EEA5D170_.wvu.Cols">'Chilled Water'!$C:$I,'Chilled Water'!$K:$P</definedName>
    <definedName hidden="1" localSheetId="2" name="Z_7E611BF3_29F9_42C0_9604_1424EEA5D170_.wvu.Cols">Electricity!$C:$I,Electricity!$K:$O</definedName>
    <definedName hidden="1" localSheetId="3" name="Z_7E611BF3_29F9_42C0_9604_1424EEA5D170_.wvu.Cols">Gas!$C:$I,Gas!$K:$P</definedName>
    <definedName hidden="1" localSheetId="1" name="Z_7E611BF3_29F9_42C0_9604_1424EEA5D170_.wvu.Cols">'Utility Summary'!$C:$I,'Utility Summary'!$K:$P</definedName>
    <definedName hidden="1" localSheetId="4" name="Z_7E611BF3_29F9_42C0_9604_1424EEA5D170_.wvu.Cols">Water!$C:$I,Water!$K:$P</definedName>
    <definedName hidden="1" localSheetId="6" name="Z_7E611BF3_29F9_42C0_9604_1424EEA5D170_.wvu.PrintArea">'Utilities Summary Old '!$A$1:$G$159</definedName>
    <definedName hidden="1" localSheetId="1" name="Z_7E611BF3_29F9_42C0_9604_1424EEA5D170_.wvu.PrintArea">'Utility Summary'!$A$1:$U$89</definedName>
    <definedName hidden="1" localSheetId="9" name="Z_7E611BF3_29F9_42C0_9604_1424EEA5D170_.wvu.PrintArea">'Water Old'!$A$1:$G$141</definedName>
    <definedName hidden="1" localSheetId="7" name="Z_7E611BF3_29F9_42C0_9604_1424EEA5D170_.wvu.PrintTitles">'Electric old'!$1:$3</definedName>
    <definedName hidden="1" localSheetId="6" name="Z_7E611BF3_29F9_42C0_9604_1424EEA5D170_.wvu.PrintTitles">'Utilities Summary Old '!$1:$3</definedName>
    <definedName hidden="1" localSheetId="9" name="Z_7E611BF3_29F9_42C0_9604_1424EEA5D170_.wvu.PrintTitles">'Water Old'!$1:$3</definedName>
    <definedName hidden="1" localSheetId="3" name="Z_7E611BF3_29F9_42C0_9604_1424EEA5D170_.wvu.Rows">Gas!$38:$41</definedName>
    <definedName hidden="1" localSheetId="1" name="Z_7E611BF3_29F9_42C0_9604_1424EEA5D170_.wvu.Rows">'Utility Summary'!$72:$76</definedName>
    <definedName hidden="1" localSheetId="10" name="Z_902840B4_CA0A_4F6E_BC43_8C327A56ACC5_.wvu.Cols">'Chilled Water'!$C:$K,'Chilled Water'!$M:$P</definedName>
    <definedName hidden="1" localSheetId="2" name="Z_902840B4_CA0A_4F6E_BC43_8C327A56ACC5_.wvu.Cols">Electricity!$C:$K,Electricity!$M:$P</definedName>
    <definedName hidden="1" localSheetId="3" name="Z_902840B4_CA0A_4F6E_BC43_8C327A56ACC5_.wvu.Cols">Gas!$C:$K,Gas!$M:$P</definedName>
    <definedName hidden="1" localSheetId="1" name="Z_902840B4_CA0A_4F6E_BC43_8C327A56ACC5_.wvu.Cols">'Utility Summary'!$C:$K,'Utility Summary'!$M:$R</definedName>
    <definedName hidden="1" localSheetId="4" name="Z_902840B4_CA0A_4F6E_BC43_8C327A56ACC5_.wvu.Cols">Water!$C:$K,Water!$M:$Q</definedName>
    <definedName hidden="1" localSheetId="6" name="Z_902840B4_CA0A_4F6E_BC43_8C327A56ACC5_.wvu.PrintArea">'Utilities Summary Old '!$A$1:$G$159</definedName>
    <definedName hidden="1" localSheetId="1" name="Z_902840B4_CA0A_4F6E_BC43_8C327A56ACC5_.wvu.PrintArea">'Utility Summary'!$A$1:$U$89</definedName>
    <definedName hidden="1" localSheetId="9" name="Z_902840B4_CA0A_4F6E_BC43_8C327A56ACC5_.wvu.PrintArea">'Water Old'!$A$1:$G$141</definedName>
    <definedName hidden="1" localSheetId="7" name="Z_902840B4_CA0A_4F6E_BC43_8C327A56ACC5_.wvu.PrintTitles">'Electric old'!$1:$3</definedName>
    <definedName hidden="1" localSheetId="6" name="Z_902840B4_CA0A_4F6E_BC43_8C327A56ACC5_.wvu.PrintTitles">'Utilities Summary Old '!$1:$3</definedName>
    <definedName hidden="1" localSheetId="9" name="Z_902840B4_CA0A_4F6E_BC43_8C327A56ACC5_.wvu.PrintTitles">'Water Old'!$1:$3</definedName>
    <definedName hidden="1" localSheetId="3" name="Z_902840B4_CA0A_4F6E_BC43_8C327A56ACC5_.wvu.Rows">Gas!$38:$41</definedName>
    <definedName hidden="1" localSheetId="1" name="Z_902840B4_CA0A_4F6E_BC43_8C327A56ACC5_.wvu.Rows">'Utility Summary'!$72:$76</definedName>
    <definedName hidden="1" localSheetId="10" name="Z_BAA39939_E753_438A_B867_0C9F92A74103_.wvu.Cols">'Chilled Water'!$F:$P</definedName>
    <definedName hidden="1" localSheetId="2" name="Z_BAA39939_E753_438A_B867_0C9F92A74103_.wvu.Cols">Electricity!$F:$P</definedName>
    <definedName hidden="1" localSheetId="3" name="Z_BAA39939_E753_438A_B867_0C9F92A74103_.wvu.Cols">Gas!$F:$P</definedName>
    <definedName hidden="1" localSheetId="4" name="Z_BAA39939_E753_438A_B867_0C9F92A74103_.wvu.Cols">Water!$F:$P</definedName>
    <definedName hidden="1" localSheetId="6" name="Z_BAA39939_E753_438A_B867_0C9F92A74103_.wvu.PrintArea">'Utilities Summary Old '!$A$1:$G$159</definedName>
    <definedName hidden="1" localSheetId="1" name="Z_BAA39939_E753_438A_B867_0C9F92A74103_.wvu.PrintArea">'Utility Summary'!$A$1:$U$89</definedName>
    <definedName hidden="1" localSheetId="9" name="Z_BAA39939_E753_438A_B867_0C9F92A74103_.wvu.PrintArea">'Water Old'!$A$1:$G$141</definedName>
    <definedName hidden="1" localSheetId="7" name="Z_BAA39939_E753_438A_B867_0C9F92A74103_.wvu.PrintTitles">'Electric old'!$1:$3</definedName>
    <definedName hidden="1" localSheetId="6" name="Z_BAA39939_E753_438A_B867_0C9F92A74103_.wvu.PrintTitles">'Utilities Summary Old '!$1:$3</definedName>
    <definedName hidden="1" localSheetId="9" name="Z_BAA39939_E753_438A_B867_0C9F92A74103_.wvu.PrintTitles">'Water Old'!$1:$3</definedName>
    <definedName hidden="1" localSheetId="3" name="Z_BAA39939_E753_438A_B867_0C9F92A74103_.wvu.Rows">Gas!$38:$41</definedName>
    <definedName hidden="1" localSheetId="1" name="Z_BAA39939_E753_438A_B867_0C9F92A74103_.wvu.Rows">'Utility Summary'!$72:$76</definedName>
    <definedName hidden="1" localSheetId="10" name="Z_C9E92C5F_0D58_4CFB_9D13_E03F6AA5D0E3_.wvu.Cols">'Chilled Water'!$C:$K,'Chilled Water'!$M:$Q</definedName>
    <definedName hidden="1" localSheetId="2" name="Z_C9E92C5F_0D58_4CFB_9D13_E03F6AA5D0E3_.wvu.Cols">Electricity!$C:$K,Electricity!$M:$Q</definedName>
    <definedName hidden="1" localSheetId="3" name="Z_C9E92C5F_0D58_4CFB_9D13_E03F6AA5D0E3_.wvu.Cols">Gas!$C:$K,Gas!$M:$Q</definedName>
    <definedName hidden="1" localSheetId="1" name="Z_C9E92C5F_0D58_4CFB_9D13_E03F6AA5D0E3_.wvu.Cols">'Utility Summary'!$C:$K,'Utility Summary'!$M:$Q</definedName>
    <definedName hidden="1" localSheetId="4" name="Z_C9E92C5F_0D58_4CFB_9D13_E03F6AA5D0E3_.wvu.Cols">Water!$C:$K,Water!$M:$Q</definedName>
    <definedName hidden="1" localSheetId="6" name="Z_C9E92C5F_0D58_4CFB_9D13_E03F6AA5D0E3_.wvu.PrintArea">'Utilities Summary Old '!$A$1:$G$159</definedName>
    <definedName hidden="1" localSheetId="1" name="Z_C9E92C5F_0D58_4CFB_9D13_E03F6AA5D0E3_.wvu.PrintArea">'Utility Summary'!$A$1:$U$89</definedName>
    <definedName hidden="1" localSheetId="9" name="Z_C9E92C5F_0D58_4CFB_9D13_E03F6AA5D0E3_.wvu.PrintArea">'Water Old'!$A$1:$G$141</definedName>
    <definedName hidden="1" localSheetId="7" name="Z_C9E92C5F_0D58_4CFB_9D13_E03F6AA5D0E3_.wvu.PrintTitles">'Electric old'!$1:$3</definedName>
    <definedName hidden="1" localSheetId="6" name="Z_C9E92C5F_0D58_4CFB_9D13_E03F6AA5D0E3_.wvu.PrintTitles">'Utilities Summary Old '!$1:$3</definedName>
    <definedName hidden="1" localSheetId="9" name="Z_C9E92C5F_0D58_4CFB_9D13_E03F6AA5D0E3_.wvu.PrintTitles">'Water Old'!$1:$3</definedName>
    <definedName hidden="1" localSheetId="3" name="Z_C9E92C5F_0D58_4CFB_9D13_E03F6AA5D0E3_.wvu.Rows">Gas!$38:$41</definedName>
    <definedName hidden="1" localSheetId="1" name="Z_C9E92C5F_0D58_4CFB_9D13_E03F6AA5D0E3_.wvu.Rows">'Utility Summary'!$72:$76</definedName>
    <definedName hidden="1" localSheetId="4" name="Z_DFC6CB94_9BD9_42C9_9155_85AE48A8AF87_.wvu.Cols">Water!#REF!</definedName>
    <definedName hidden="1" localSheetId="6" name="Z_DFC6CB94_9BD9_42C9_9155_85AE48A8AF87_.wvu.PrintArea">'Utilities Summary Old '!$A$1:$G$159</definedName>
    <definedName hidden="1" localSheetId="9" name="Z_DFC6CB94_9BD9_42C9_9155_85AE48A8AF87_.wvu.PrintArea">'Water Old'!$A$1:$G$141</definedName>
    <definedName hidden="1" localSheetId="7" name="Z_DFC6CB94_9BD9_42C9_9155_85AE48A8AF87_.wvu.PrintTitles">'Electric old'!$1:$3</definedName>
    <definedName hidden="1" localSheetId="6" name="Z_DFC6CB94_9BD9_42C9_9155_85AE48A8AF87_.wvu.PrintTitles">'Utilities Summary Old '!$1:$3</definedName>
    <definedName hidden="1" localSheetId="9" name="Z_DFC6CB94_9BD9_42C9_9155_85AE48A8AF87_.wvu.PrintTitles">'Water Old'!$1:$3</definedName>
    <definedName hidden="1" localSheetId="3" name="Z_DFC6CB94_9BD9_42C9_9155_85AE48A8AF87_.wvu.Rows">Gas!$38:$41</definedName>
    <definedName localSheetId="1" name="_xlnm.Print_Area">'Utility Summary'!$A$1:$U$89</definedName>
    <definedName localSheetId="6" name="_xlnm.Print_Titles">'Utilities Summary Old '!$1:$3</definedName>
    <definedName localSheetId="6" name="_xlnm.Print_Area">'Utilities Summary Old '!$A$1:$G$159</definedName>
    <definedName localSheetId="7" name="_xlnm.Print_Titles">'Electric old'!$1:$3</definedName>
    <definedName localSheetId="9" name="_xlnm.Print_Titles">'Water Old'!$1:$3</definedName>
    <definedName localSheetId="9" name="_xlnm.Print_Area">'Water Old'!$A$1:$G$141</definedName>
  </definedNames>
  <calcPr calcId="179017" fullCalcOnLoad="1"/>
</workbook>
</file>

<file path=xl/sharedStrings.xml><?xml version="1.0" encoding="utf-8"?>
<sst xmlns="http://schemas.openxmlformats.org/spreadsheetml/2006/main" uniqueCount="187">
  <si>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</si>
  <si>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</si>
  <si>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</si>
  <si>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</si>
  <si>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</si>
  <si>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</si>
  <si>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</si>
  <si>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</si>
  <si>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</si>
  <si>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</si>
  <si>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</si>
  <si>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</si>
  <si>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</si>
  <si>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</si>
  <si>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</si>
  <si>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</si>
  <si>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</si>
  <si>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</si>
  <si>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</si>
  <si>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</si>
  <si>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</si>
  <si>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</si>
  <si>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</si>
  <si>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</si>
  <si>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</si>
  <si>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</si>
  <si>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</si>
  <si>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</si>
  <si>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</si>
  <si>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</si>
  <si>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</si>
  <si>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</si>
  <si>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</si>
  <si>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</si>
  <si>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</si>
  <si>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</si>
  <si>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</si>
  <si>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</si>
  <si>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</si>
  <si>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</si>
  <si>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</si>
  <si>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</si>
  <si>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</si>
  <si>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</si>
  <si>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</si>
  <si>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</si>
  <si>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</si>
  <si>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</si>
  <si>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</si>
  <si>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</si>
  <si>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</si>
  <si>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</si>
  <si>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</si>
  <si>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</si>
  <si>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</si>
  <si>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</si>
  <si>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</si>
  <si>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</si>
  <si>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</si>
  <si>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</si>
  <si>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</si>
  <si>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</si>
  <si>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</si>
  <si>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</si>
  <si>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</si>
  <si>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</si>
  <si>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</si>
  <si>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</si>
  <si>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</si>
  <si>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</si>
  <si>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</si>
  <si>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</si>
  <si>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</si>
  <si>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</si>
  <si>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</si>
  <si>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Usage
(therms)</t>
  </si>
  <si>
    <t xml:space="preserve">Charges
</t>
  </si>
  <si>
    <t>LAUNDRY</t>
  </si>
  <si>
    <t>Current Meter
(100 x cub-ft)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</si>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</sst>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>
  <numFmts count="15">
    <numFmt formatCode="&quot;$&quot;#,##0.00" numFmtId="164"/>
    <numFmt formatCode="#,##0.0000" numFmtId="165"/>
    <numFmt formatCode="0.0%" numFmtId="166"/>
    <numFmt formatCode="_(&quot;$&quot;* #,##0.000000_);_(&quot;$&quot;* \(#,##0.000000\);_(&quot;$&quot;* &quot;-&quot;??????_);_(@_)" numFmtId="167"/>
    <numFmt formatCode="#,##0;[Red]#,##0" numFmtId="168"/>
    <numFmt formatCode="0.0" numFmtId="169"/>
    <numFmt formatCode="&quot;$&quot;#,##0" numFmtId="170"/>
    <numFmt formatCode="m/d/yy;@" numFmtId="171"/>
    <numFmt formatCode="[$-409]mmm\-yy;@" numFmtId="172"/>
    <numFmt formatCode="0.0000" numFmtId="173"/>
    <numFmt formatCode="_(* #,##0_);_(* \(#,##0\);_(* &quot;-&quot;??_);_(@_)" numFmtId="174"/>
    <numFmt formatCode="_(&quot;$&quot;* #,##0.00_);_(&quot;$&quot;* \(#,##0.00\);_(&quot;$&quot;* &quot;-&quot;??_);_(@_)" numFmtId="175"/>
    <numFmt formatCode="\$#,##0.00" numFmtId="176"/>
    <numFmt formatCode="m/d/yy\ h:mm:ss" numFmtId="177"/>
    <numFmt formatCode="&quot;$&quot;#,##0.0000" numFmtId="178"/>
  </numFmts>
  <fonts count="48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indexed="8"/>
      <sz val="10"/>
    </font>
    <font>
      <name val="Arial"/>
      <family val="2"/>
      <color indexed="12"/>
      <sz val="14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Arial"/>
      <family val="2"/>
      <sz val="9"/>
    </font>
    <font>
      <name val="Arial"/>
      <family val="2"/>
      <sz val="10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theme="1"/>
      <sz val="8"/>
    </font>
    <font>
      <name val="Arial"/>
      <family val="2"/>
      <sz val="10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ahoma"/>
      <family val="2"/>
      <i val="1"/>
      <color indexed="81"/>
      <sz val="9"/>
    </font>
    <font>
      <name val="Tahoma"/>
      <family val="2"/>
      <b val="1"/>
      <i val="1"/>
      <color indexed="81"/>
      <sz val="9"/>
    </font>
    <font>
      <name val="Arial"/>
      <family val="2"/>
      <color rgb="FF000000"/>
      <sz val="8"/>
    </font>
    <font>
      <name val="Calibri"/>
      <family val="2"/>
      <sz val="11"/>
      <scheme val="minor"/>
    </font>
    <font>
      <name val="Calibri"/>
      <family val="2"/>
      <sz val="11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</fonts>
  <fills count="4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borderId="0" fillId="0" fontId="0" numFmtId="0"/>
    <xf borderId="0" fillId="0" fontId="21" numFmtId="0"/>
    <xf borderId="0" fillId="0" fontId="21" numFmtId="0"/>
    <xf borderId="0" fillId="0" fontId="21" numFmtId="175"/>
    <xf borderId="0" fillId="0" fontId="21" numFmtId="0"/>
    <xf borderId="0" fillId="0" fontId="21" numFmtId="0"/>
    <xf borderId="0" fillId="0" fontId="21" numFmtId="175"/>
    <xf borderId="0" fillId="0" fontId="22" numFmtId="0"/>
    <xf borderId="9" fillId="0" fontId="23" numFmtId="0"/>
    <xf borderId="10" fillId="0" fontId="24" numFmtId="0"/>
    <xf borderId="11" fillId="0" fontId="25" numFmtId="0"/>
    <xf borderId="0" fillId="0" fontId="25" numFmtId="0"/>
    <xf borderId="0" fillId="5" fontId="26" numFmtId="0"/>
    <xf borderId="0" fillId="6" fontId="27" numFmtId="0"/>
    <xf borderId="0" fillId="7" fontId="28" numFmtId="0"/>
    <xf borderId="12" fillId="8" fontId="29" numFmtId="0"/>
    <xf borderId="13" fillId="9" fontId="30" numFmtId="0"/>
    <xf borderId="12" fillId="9" fontId="31" numFmtId="0"/>
    <xf borderId="14" fillId="0" fontId="32" numFmtId="0"/>
    <xf borderId="15" fillId="10" fontId="33" numFmtId="0"/>
    <xf borderId="0" fillId="0" fontId="34" numFmtId="0"/>
    <xf borderId="0" fillId="0" fontId="35" numFmtId="0"/>
    <xf borderId="17" fillId="0" fontId="36" numFmtId="0"/>
    <xf borderId="0" fillId="12" fontId="37" numFmtId="0"/>
    <xf borderId="0" fillId="13" fontId="3" numFmtId="0"/>
    <xf borderId="0" fillId="14" fontId="3" numFmtId="0"/>
    <xf borderId="0" fillId="15" fontId="37" numFmtId="0"/>
    <xf borderId="0" fillId="16" fontId="37" numFmtId="0"/>
    <xf borderId="0" fillId="17" fontId="3" numFmtId="0"/>
    <xf borderId="0" fillId="18" fontId="3" numFmtId="0"/>
    <xf borderId="0" fillId="19" fontId="37" numFmtId="0"/>
    <xf borderId="0" fillId="20" fontId="37" numFmtId="0"/>
    <xf borderId="0" fillId="21" fontId="3" numFmtId="0"/>
    <xf borderId="0" fillId="22" fontId="3" numFmtId="0"/>
    <xf borderId="0" fillId="23" fontId="37" numFmtId="0"/>
    <xf borderId="0" fillId="24" fontId="37" numFmtId="0"/>
    <xf borderId="0" fillId="25" fontId="3" numFmtId="0"/>
    <xf borderId="0" fillId="26" fontId="3" numFmtId="0"/>
    <xf borderId="0" fillId="27" fontId="37" numFmtId="0"/>
    <xf borderId="0" fillId="28" fontId="37" numFmtId="0"/>
    <xf borderId="0" fillId="29" fontId="3" numFmtId="0"/>
    <xf borderId="0" fillId="30" fontId="3" numFmtId="0"/>
    <xf borderId="0" fillId="31" fontId="37" numFmtId="0"/>
    <xf borderId="0" fillId="32" fontId="37" numFmtId="0"/>
    <xf borderId="0" fillId="33" fontId="3" numFmtId="0"/>
    <xf borderId="0" fillId="34" fontId="3" numFmtId="0"/>
    <xf borderId="0" fillId="35" fontId="37" numFmtId="0"/>
    <xf borderId="0" fillId="0" fontId="3" numFmtId="0"/>
    <xf borderId="16" fillId="11" fontId="3" numFmtId="0"/>
    <xf borderId="0" fillId="0" fontId="3" numFmtId="0"/>
    <xf borderId="0" fillId="0" fontId="21" numFmtId="0"/>
    <xf borderId="0" fillId="0" fontId="21" numFmtId="0"/>
    <xf borderId="0" fillId="0" fontId="21" numFmtId="0"/>
    <xf borderId="0" fillId="0" fontId="3" numFmtId="0"/>
    <xf borderId="0" fillId="0" fontId="3" numFmtId="0"/>
    <xf borderId="0" fillId="0" fontId="3" numFmtId="0"/>
  </cellStyleXfs>
  <cellXfs count="36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borderId="0" fillId="0" fontId="0" numFmtId="3" pivotButton="0" quotePrefix="0" xfId="0"/>
    <xf applyAlignment="1" borderId="0" fillId="0" fontId="0" numFmtId="0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left"/>
    </xf>
    <xf applyAlignment="1" borderId="0" fillId="0" fontId="0" numFmtId="3" pivotButton="0" quotePrefix="0" xfId="0">
      <alignment horizontal="center"/>
    </xf>
    <xf applyAlignment="1" borderId="1" fillId="0" fontId="8" numFmtId="14" pivotButton="0" quotePrefix="0" xfId="0">
      <alignment horizontal="center"/>
    </xf>
    <xf applyAlignment="1" borderId="1" fillId="0" fontId="8" numFmtId="3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8" numFmtId="0" pivotButton="0" quotePrefix="0" xfId="0"/>
    <xf applyAlignment="1" borderId="0" fillId="0" fontId="8" numFmtId="164" pivotButton="0" quotePrefix="0" xfId="0">
      <alignment horizontal="center"/>
    </xf>
    <xf applyAlignment="1" borderId="0" fillId="0" fontId="8" numFmtId="3" pivotButton="0" quotePrefix="0" xfId="0">
      <alignment horizontal="center"/>
    </xf>
    <xf borderId="0" fillId="0" fontId="0" numFmtId="3" pivotButton="0" quotePrefix="0" xfId="0"/>
    <xf borderId="0" fillId="0" fontId="0" numFmtId="164" pivotButton="0" quotePrefix="0" xfId="0"/>
    <xf applyAlignment="1" borderId="1" fillId="2" fontId="8" numFmtId="3" pivotButton="0" quotePrefix="0" xfId="0">
      <alignment horizontal="center"/>
    </xf>
    <xf applyAlignment="1" borderId="0" fillId="0" fontId="8" numFmtId="164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8" numFmtId="4" pivotButton="0" quotePrefix="0" xfId="0">
      <alignment horizontal="center"/>
    </xf>
    <xf borderId="0" fillId="0" fontId="0" numFmtId="4" pivotButton="0" quotePrefix="0" xfId="0"/>
    <xf applyAlignment="1" borderId="1" fillId="0" fontId="8" numFmtId="165" pivotButton="0" quotePrefix="0" xfId="0">
      <alignment horizontal="center"/>
    </xf>
    <xf applyAlignment="1" borderId="1" fillId="0" fontId="8" numFmtId="0" pivotButton="0" quotePrefix="0" xfId="0">
      <alignment horizontal="center" vertical="center" wrapText="1"/>
    </xf>
    <xf borderId="0" fillId="0" fontId="10" numFmtId="0" pivotButton="0" quotePrefix="0" xfId="0"/>
    <xf borderId="0" fillId="0" fontId="11" numFmtId="0" pivotButton="0" quotePrefix="0" xfId="0"/>
    <xf applyAlignment="1" borderId="0" fillId="0" fontId="11" numFmtId="0" pivotButton="0" quotePrefix="0" xfId="0">
      <alignment vertical="center" wrapText="1"/>
    </xf>
    <xf borderId="0" fillId="0" fontId="11" numFmtId="164" pivotButton="0" quotePrefix="0" xfId="0"/>
    <xf borderId="0" fillId="0" fontId="11" numFmtId="3" pivotButton="0" quotePrefix="0" xfId="0"/>
    <xf borderId="0" fillId="0" fontId="12" numFmtId="0" pivotButton="0" quotePrefix="0" xfId="0"/>
    <xf applyAlignment="1" borderId="0" fillId="0" fontId="13" numFmtId="0" pivotButton="0" quotePrefix="0" xfId="0">
      <alignment horizontal="left"/>
    </xf>
    <xf applyAlignment="1" borderId="1" fillId="0" fontId="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center" vertical="center" wrapText="1"/>
    </xf>
    <xf applyAlignment="1" borderId="1" fillId="0" fontId="14" numFmtId="0" pivotButton="0" quotePrefix="0" xfId="0">
      <alignment horizontal="left" vertical="center" wrapText="1"/>
    </xf>
    <xf applyAlignment="1" borderId="1" fillId="0" fontId="14" numFmtId="0" pivotButton="0" quotePrefix="0" xfId="0">
      <alignment horizontal="left"/>
    </xf>
    <xf applyAlignment="1" borderId="1" fillId="0" fontId="14" numFmtId="14" pivotButton="0" quotePrefix="0" xfId="0">
      <alignment horizontal="center"/>
    </xf>
    <xf applyAlignment="1" borderId="1" fillId="0" fontId="14" numFmtId="3" pivotButton="0" quotePrefix="0" xfId="0">
      <alignment horizontal="center"/>
    </xf>
    <xf applyAlignment="1" borderId="1" fillId="0" fontId="14" numFmtId="164" pivotButton="0" quotePrefix="0" xfId="0">
      <alignment horizontal="center"/>
    </xf>
    <xf borderId="1" fillId="0" fontId="14" numFmtId="0" pivotButton="0" quotePrefix="0" xfId="0"/>
    <xf applyAlignment="1" borderId="1" fillId="0" fontId="14" numFmtId="165" pivotButton="0" quotePrefix="0" xfId="0">
      <alignment horizontal="center"/>
    </xf>
    <xf applyAlignment="1" borderId="1" fillId="0" fontId="14" numFmtId="0" pivotButton="0" quotePrefix="0" xfId="0">
      <alignment horizontal="center"/>
    </xf>
    <xf applyAlignment="1" borderId="1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left"/>
    </xf>
    <xf borderId="1" fillId="0" fontId="8" numFmtId="0" pivotButton="0" quotePrefix="0" xfId="0"/>
    <xf borderId="0" fillId="0" fontId="1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horizontal="left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borderId="1" fillId="0" fontId="10" numFmtId="0" pivotButton="0" quotePrefix="0" xfId="0"/>
    <xf applyAlignment="1" borderId="1" fillId="0" fontId="10" numFmtId="164" pivotButton="0" quotePrefix="0" xfId="0">
      <alignment horizontal="center"/>
    </xf>
    <xf borderId="1" fillId="0" fontId="10" numFmtId="164" pivotButton="0" quotePrefix="0" xfId="0"/>
    <xf borderId="1" fillId="0" fontId="10" numFmtId="0" pivotButton="0" quotePrefix="0" xfId="0"/>
    <xf borderId="0" fillId="2" fontId="0" numFmtId="0" pivotButton="0" quotePrefix="0" xfId="0"/>
    <xf borderId="0" fillId="0" fontId="0" numFmtId="166" pivotButton="0" quotePrefix="0" xfId="1"/>
    <xf applyAlignment="1" borderId="1" fillId="0" fontId="10" numFmtId="164" pivotButton="0" quotePrefix="1" xfId="0">
      <alignment horizontal="center"/>
    </xf>
    <xf borderId="1" fillId="0" fontId="0" numFmtId="0" pivotButton="0" quotePrefix="0" xfId="0"/>
    <xf borderId="0" fillId="0" fontId="5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0" xfId="0">
      <alignment horizontal="center" vertical="center" wrapText="1"/>
    </xf>
    <xf borderId="0" fillId="0" fontId="10" numFmtId="0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8" numFmtId="164" pivotButton="0" quotePrefix="0" xfId="0">
      <alignment horizontal="center"/>
    </xf>
    <xf applyAlignment="1" borderId="0" fillId="0" fontId="8" numFmtId="167" pivotButton="0" quotePrefix="0" xfId="0">
      <alignment horizontal="center"/>
    </xf>
    <xf applyAlignment="1" borderId="1" fillId="0" fontId="0" numFmtId="168" pivotButton="0" quotePrefix="0" xfId="0">
      <alignment horizontal="center" wrapText="1"/>
    </xf>
    <xf applyAlignment="1" borderId="1" fillId="0" fontId="0" numFmtId="3" pivotButton="0" quotePrefix="0" xfId="0">
      <alignment horizontal="center"/>
    </xf>
    <xf borderId="0" fillId="0" fontId="0" numFmtId="169" pivotButton="0" quotePrefix="0" xfId="0"/>
    <xf borderId="0" fillId="0" fontId="15" numFmtId="0" pivotButton="0" quotePrefix="0" xfId="0"/>
    <xf applyAlignment="1" borderId="0" fillId="0" fontId="14" numFmtId="0" pivotButton="0" quotePrefix="0" xfId="0">
      <alignment horizontal="left" vertical="top" wrapText="1"/>
    </xf>
    <xf applyAlignment="1" borderId="0" fillId="0" fontId="4" numFmtId="0" pivotButton="0" quotePrefix="0" xfId="0">
      <alignment vertical="top" wrapText="1"/>
    </xf>
    <xf applyAlignment="1" borderId="0" fillId="0" fontId="5" numFmtId="0" pivotButton="0" quotePrefix="0" xfId="0">
      <alignment vertical="top" wrapText="1"/>
    </xf>
    <xf borderId="2" fillId="0" fontId="5" numFmtId="0" pivotButton="0" quotePrefix="0" xfId="0"/>
    <xf applyAlignment="1" borderId="3" fillId="0" fontId="5" numFmtId="0" pivotButton="0" quotePrefix="0" xfId="0">
      <alignment vertical="top"/>
    </xf>
    <xf applyAlignment="1" borderId="3" fillId="0" fontId="5" numFmtId="0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wrapText="1"/>
    </xf>
    <xf borderId="0" fillId="0" fontId="5" numFmtId="3" pivotButton="0" quotePrefix="0" xfId="0"/>
    <xf borderId="0" fillId="0" fontId="5" numFmtId="164" pivotButton="0" quotePrefix="0" xfId="0"/>
    <xf borderId="3" fillId="0" fontId="5" numFmtId="0" pivotButton="0" quotePrefix="0" xfId="0"/>
    <xf applyAlignment="1" borderId="2" fillId="0" fontId="5" numFmtId="0" pivotButton="0" quotePrefix="0" xfId="0">
      <alignment horizontal="lef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horizontal="left" vertical="top" wrapText="1"/>
    </xf>
    <xf applyAlignment="1" borderId="0" fillId="0" fontId="5" numFmtId="3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5" numFmtId="0" pivotButton="0" quotePrefix="0" xfId="0"/>
    <xf borderId="0" fillId="0" fontId="5" numFmtId="170" pivotButton="0" quotePrefix="0" xfId="0"/>
    <xf applyAlignment="1" borderId="0" fillId="0" fontId="5" numFmtId="0" pivotButton="0" quotePrefix="0" xfId="0">
      <alignment vertical="top"/>
    </xf>
    <xf applyAlignment="1" borderId="0" fillId="0" fontId="5" numFmtId="164" pivotButton="0" quotePrefix="0" xfId="0">
      <alignment vertical="top"/>
    </xf>
    <xf borderId="3" fillId="0" fontId="5" numFmtId="0" pivotButton="0" quotePrefix="0" xfId="0"/>
    <xf applyAlignment="1" borderId="0" fillId="0" fontId="5" numFmtId="3" pivotButton="0" quotePrefix="0" xfId="0">
      <alignment vertical="top" wrapText="1"/>
    </xf>
    <xf borderId="0" fillId="0" fontId="5" numFmtId="0" pivotButton="0" quotePrefix="0" xfId="0"/>
    <xf applyAlignment="1" borderId="0" fillId="0" fontId="5" numFmtId="0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0" fillId="0" fontId="4" numFmtId="0" pivotButton="0" quotePrefix="0" xfId="0">
      <alignment vertical="top" wrapText="1"/>
    </xf>
    <xf applyAlignment="1" borderId="0" fillId="0" fontId="17" numFmtId="0" pivotButton="0" quotePrefix="0" xfId="0">
      <alignment vertical="top"/>
    </xf>
    <xf applyAlignment="1" borderId="0" fillId="0" fontId="17" numFmtId="0" pivotButton="0" quotePrefix="0" xfId="0">
      <alignment vertical="top" wrapText="1"/>
    </xf>
    <xf applyAlignment="1" borderId="0" fillId="0" fontId="17" numFmtId="3" pivotButton="0" quotePrefix="0" xfId="0">
      <alignment vertical="top"/>
    </xf>
    <xf applyAlignment="1" borderId="0" fillId="0" fontId="17" numFmtId="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17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0" fillId="0" fontId="4" numFmtId="172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17" numFmtId="3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1" fillId="0" fontId="4" numFmtId="171" pivotButton="0" quotePrefix="0" xfId="0">
      <alignment vertical="top"/>
    </xf>
    <xf applyAlignment="1" borderId="0" fillId="0" fontId="13" numFmtId="0" pivotButton="0" quotePrefix="0" xfId="0">
      <alignment vertical="top"/>
    </xf>
    <xf applyAlignment="1" borderId="0" fillId="0" fontId="12" numFmtId="0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5" numFmtId="0" pivotButton="0" quotePrefix="0" xfId="0">
      <alignment horizontal="left" vertical="top"/>
    </xf>
    <xf borderId="0" fillId="0" fontId="5" numFmtId="170" pivotButton="0" quotePrefix="0" xfId="0"/>
    <xf borderId="0" fillId="0" fontId="5" numFmtId="170" pivotButton="0" quotePrefix="0" xfId="0"/>
    <xf borderId="0" fillId="0" fontId="5" numFmtId="164" pivotButton="0" quotePrefix="0" xfId="0"/>
    <xf borderId="0" fillId="0" fontId="4" numFmtId="0" pivotButton="0" quotePrefix="0" xfId="0"/>
    <xf borderId="2" fillId="0" fontId="5" numFmtId="0" pivotButton="0" quotePrefix="0" xfId="0"/>
    <xf borderId="0" fillId="0" fontId="4" numFmtId="3" pivotButton="0" quotePrefix="0" xfId="0"/>
    <xf borderId="0" fillId="0" fontId="5" numFmtId="0" pivotButton="0" quotePrefix="1" xfId="0"/>
    <xf applyAlignment="1" borderId="2" fillId="0" fontId="5" numFmtId="0" pivotButton="0" quotePrefix="0" xfId="0">
      <alignment horizontal="right"/>
    </xf>
    <xf applyAlignment="1" borderId="2" fillId="0" fontId="5" numFmtId="0" pivotButton="0" quotePrefix="0" xfId="0">
      <alignment horizontal="right" vertical="top" wrapText="1"/>
    </xf>
    <xf applyAlignment="1" borderId="0" fillId="0" fontId="5" numFmtId="0" pivotButton="0" quotePrefix="0" xfId="0">
      <alignment vertical="top" wrapText="1"/>
    </xf>
    <xf applyAlignment="1" borderId="3" fillId="0" fontId="5" numFmtId="0" pivotButton="0" quotePrefix="0" xfId="0">
      <alignment vertical="top" wrapText="1"/>
    </xf>
    <xf borderId="0" fillId="0" fontId="4" numFmtId="3" pivotButton="0" quotePrefix="0" xfId="0"/>
    <xf applyAlignment="1" borderId="4" fillId="0" fontId="5" numFmtId="0" pivotButton="0" quotePrefix="0" xfId="0">
      <alignment horizontal="right"/>
    </xf>
    <xf borderId="0" fillId="3" fontId="5" numFmtId="170" pivotButton="0" quotePrefix="0" xfId="0"/>
    <xf borderId="0" fillId="0" fontId="18" numFmtId="0" pivotButton="0" quotePrefix="0" xfId="0"/>
    <xf applyAlignment="1" borderId="0" fillId="0" fontId="5" numFmtId="3" pivotButton="0" quotePrefix="0" xfId="0">
      <alignment wrapText="1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wrapText="1"/>
    </xf>
    <xf applyAlignment="1" borderId="0" fillId="0" fontId="4" numFmtId="0" pivotButton="0" quotePrefix="0" xfId="0">
      <alignment wrapText="1"/>
    </xf>
    <xf borderId="0" fillId="0" fontId="5" numFmtId="0" pivotButton="0" quotePrefix="0" xfId="0"/>
    <xf applyAlignment="1" borderId="3" fillId="0" fontId="4" numFmtId="0" pivotButton="0" quotePrefix="0" xfId="0">
      <alignment wrapText="1"/>
    </xf>
    <xf borderId="0" fillId="0" fontId="5" numFmtId="164" pivotButton="0" quotePrefix="0" xfId="0"/>
    <xf borderId="4" fillId="0" fontId="5" numFmtId="0" pivotButton="0" quotePrefix="0" xfId="0"/>
    <xf applyAlignment="1" borderId="2" fillId="0" fontId="5" numFmtId="3" pivotButton="0" quotePrefix="0" xfId="0">
      <alignment vertical="top" wrapText="1"/>
    </xf>
    <xf applyAlignment="1" borderId="7" fillId="0" fontId="5" numFmtId="0" pivotButton="0" quotePrefix="0" xfId="0">
      <alignment vertical="top" wrapText="1"/>
    </xf>
    <xf applyAlignment="1" borderId="5" fillId="0" fontId="5" numFmtId="0" pivotButton="0" quotePrefix="0" xfId="0">
      <alignment vertical="top" wrapText="1"/>
    </xf>
    <xf applyAlignment="1" borderId="6" fillId="0" fontId="5" numFmtId="0" pivotButton="0" quotePrefix="0" xfId="0">
      <alignment wrapText="1"/>
    </xf>
    <xf applyAlignment="1" borderId="6" fillId="0" fontId="5" numFmtId="3" pivotButton="0" quotePrefix="0" xfId="0">
      <alignment wrapText="1"/>
    </xf>
    <xf applyAlignment="1" borderId="6" fillId="0" fontId="5" numFmtId="164" pivotButton="0" quotePrefix="0" xfId="0">
      <alignment wrapText="1"/>
    </xf>
    <xf borderId="6" fillId="0" fontId="5" numFmtId="164" pivotButton="0" quotePrefix="0" xfId="0"/>
    <xf applyAlignment="1" borderId="7" fillId="0" fontId="5" numFmtId="164" pivotButton="0" quotePrefix="0" xfId="0">
      <alignment wrapText="1"/>
    </xf>
    <xf applyAlignment="1" borderId="5" fillId="0" fontId="5" numFmtId="0" pivotButton="0" quotePrefix="0" xfId="0">
      <alignment horizontal="left" vertical="top" wrapText="1"/>
    </xf>
    <xf borderId="0" fillId="4" fontId="5" numFmtId="170" pivotButton="0" quotePrefix="0" xfId="0"/>
    <xf applyAlignment="1" borderId="0" fillId="0" fontId="5" numFmtId="3" pivotButton="0" quotePrefix="0" xfId="0">
      <alignment vertical="top" wrapText="1"/>
    </xf>
    <xf applyAlignment="1" borderId="0" fillId="0" fontId="4" numFmtId="0" pivotButton="0" quotePrefix="0" xfId="0">
      <alignment horizontal="right"/>
    </xf>
    <xf applyAlignment="1" borderId="0" fillId="0" fontId="5" numFmtId="3" pivotButton="0" quotePrefix="0" xfId="0">
      <alignment horizontal="right" vertical="top" wrapText="1"/>
    </xf>
    <xf applyAlignment="1" borderId="0" fillId="0" fontId="4" numFmtId="3" pivotButton="0" quotePrefix="0" xfId="0">
      <alignment horizontal="right"/>
    </xf>
    <xf applyAlignment="1" borderId="0" fillId="0" fontId="5" numFmtId="170" pivotButton="0" quotePrefix="0" xfId="0">
      <alignment horizontal="right"/>
    </xf>
    <xf applyAlignment="1" borderId="0" fillId="36" fontId="5" numFmtId="0" pivotButton="0" quotePrefix="0" xfId="0">
      <alignment horizontal="left"/>
    </xf>
    <xf applyAlignment="1" borderId="0" fillId="0" fontId="5" numFmtId="170" pivotButton="0" quotePrefix="0" xfId="0">
      <alignment vertical="top" wrapText="1"/>
    </xf>
    <xf borderId="8" fillId="0" fontId="5" numFmtId="170" pivotButton="0" quotePrefix="0" xfId="0"/>
    <xf borderId="6" fillId="0" fontId="5" numFmtId="170" pivotButton="0" quotePrefix="0" xfId="0"/>
    <xf borderId="0" fillId="0" fontId="38" numFmtId="0" pivotButton="0" quotePrefix="0" xfId="0"/>
    <xf borderId="0" fillId="0" fontId="14" numFmtId="0" pivotButton="0" quotePrefix="0" xfId="0"/>
    <xf borderId="0" fillId="0" fontId="38" numFmtId="0" pivotButton="0" quotePrefix="0" xfId="0"/>
    <xf borderId="0" fillId="0" fontId="14" numFmtId="0" pivotButton="0" quotePrefix="0" xfId="0"/>
    <xf borderId="2" fillId="0" fontId="14" numFmtId="0" pivotButton="0" quotePrefix="0" xfId="0"/>
    <xf applyAlignment="1" borderId="2" fillId="0" fontId="14" numFmtId="0" pivotButton="0" quotePrefix="0" xfId="0">
      <alignment horizontal="right" vertical="top" wrapText="1"/>
    </xf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0" fillId="0" fontId="14" numFmtId="171" pivotButton="0" quotePrefix="0" xfId="0"/>
    <xf applyAlignment="1" borderId="0" fillId="0" fontId="14" numFmtId="0" pivotButton="0" quotePrefix="0" xfId="0">
      <alignment vertical="top" wrapText="1"/>
    </xf>
    <xf borderId="0" fillId="0" fontId="14" numFmtId="171" pivotButton="0" quotePrefix="0" xfId="0"/>
    <xf applyAlignment="1" borderId="3" fillId="0" fontId="14" numFmtId="0" pivotButton="0" quotePrefix="0" xfId="0">
      <alignment vertical="top"/>
    </xf>
    <xf applyAlignment="1" borderId="3" fillId="0" fontId="14" numFmtId="0" pivotButton="0" quotePrefix="0" xfId="0">
      <alignment vertical="top" wrapText="1"/>
    </xf>
    <xf applyAlignment="1" borderId="3" fillId="0" fontId="14" numFmtId="0" pivotButton="0" quotePrefix="0" xfId="0">
      <alignment vertical="top" wrapText="1"/>
    </xf>
    <xf applyAlignment="1" borderId="0" fillId="0" fontId="14" numFmtId="0" pivotButton="0" quotePrefix="0" xfId="0">
      <alignment vertical="top"/>
    </xf>
    <xf borderId="0" fillId="0" fontId="14" numFmtId="0" pivotButton="0" quotePrefix="0" xfId="0"/>
    <xf borderId="0" fillId="0" fontId="14" numFmtId="0" pivotButton="0" quotePrefix="0" xfId="0"/>
    <xf applyAlignment="1" borderId="0" fillId="0" fontId="14" numFmtId="0" pivotButton="0" quotePrefix="0" xfId="0">
      <alignment wrapText="1"/>
    </xf>
    <xf borderId="0" fillId="0" fontId="14" numFmtId="3" pivotButton="0" quotePrefix="0" xfId="0"/>
    <xf borderId="0" fillId="0" fontId="14" numFmtId="1" pivotButton="0" quotePrefix="0" xfId="0"/>
    <xf borderId="0" fillId="0" fontId="14" numFmtId="3" pivotButton="0" quotePrefix="0" xfId="0"/>
    <xf applyAlignment="1" borderId="0" fillId="0" fontId="14" numFmtId="0" pivotButton="0" quotePrefix="0" xfId="0">
      <alignment horizontal="left"/>
    </xf>
    <xf borderId="0" fillId="0" fontId="14" numFmtId="170" pivotButton="0" quotePrefix="0" xfId="0"/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vertical="top" wrapText="1"/>
    </xf>
    <xf applyAlignment="1" borderId="5" fillId="0" fontId="14" numFmtId="0" pivotButton="0" quotePrefix="0" xfId="0">
      <alignment horizontal="right"/>
    </xf>
    <xf borderId="6" fillId="0" fontId="14" numFmtId="171" pivotButton="0" quotePrefix="0" xfId="0"/>
    <xf borderId="6" fillId="0" fontId="14" numFmtId="0" pivotButton="0" quotePrefix="0" xfId="0"/>
    <xf borderId="6" fillId="0" fontId="14" numFmtId="3" pivotButton="0" quotePrefix="0" xfId="0"/>
    <xf borderId="6" fillId="0" fontId="14" numFmtId="164" pivotButton="0" quotePrefix="0" xfId="0"/>
    <xf borderId="0" fillId="36" fontId="4" numFmtId="0" pivotButton="0" quotePrefix="0" xfId="0"/>
    <xf borderId="0" fillId="36" fontId="4" numFmtId="3" pivotButton="0" quotePrefix="0" xfId="0"/>
    <xf applyAlignment="1" borderId="5" fillId="0" fontId="5" numFmtId="0" pivotButton="0" quotePrefix="0" xfId="0">
      <alignment horizontal="right"/>
    </xf>
    <xf borderId="6" fillId="0" fontId="0" numFmtId="0" pivotButton="0" quotePrefix="0" xfId="0"/>
    <xf applyAlignment="1" borderId="7" fillId="0" fontId="0" numFmtId="0" pivotButton="0" quotePrefix="0" xfId="0">
      <alignment vertical="top"/>
    </xf>
    <xf borderId="5" fillId="0" fontId="0" numFmtId="0" pivotButton="0" quotePrefix="0" xfId="0"/>
    <xf borderId="6" fillId="0" fontId="5" numFmtId="3" pivotButton="0" quotePrefix="0" xfId="0"/>
    <xf borderId="6" fillId="0" fontId="5" numFmtId="164" pivotButton="0" quotePrefix="0" xfId="0"/>
    <xf borderId="6" fillId="0" fontId="5" numFmtId="164" pivotButton="0" quotePrefix="0" xfId="3"/>
    <xf borderId="7" fillId="0" fontId="0" numFmtId="0" pivotButton="0" quotePrefix="0" xfId="0"/>
    <xf borderId="0" fillId="0" fontId="14" numFmtId="0" pivotButton="0" quotePrefix="1" xfId="0"/>
    <xf borderId="0" fillId="0" fontId="14" numFmtId="164" pivotButton="0" quotePrefix="0" xfId="0"/>
    <xf borderId="3" fillId="0" fontId="14" numFmtId="0" pivotButton="0" quotePrefix="0" xfId="0"/>
    <xf borderId="2" fillId="0" fontId="14" numFmtId="172" pivotButton="0" quotePrefix="0" xfId="0"/>
    <xf applyAlignment="1" borderId="0" fillId="0" fontId="5" numFmtId="3" pivotButton="0" quotePrefix="0" xfId="0">
      <alignment horizontal="right"/>
    </xf>
    <xf applyAlignment="1" borderId="0" fillId="0" fontId="5" numFmtId="164" pivotButton="0" quotePrefix="0" xfId="0">
      <alignment horizontal="right"/>
    </xf>
    <xf borderId="0" fillId="0" fontId="5" numFmtId="171" pivotButton="0" quotePrefix="0" xfId="0"/>
    <xf applyAlignment="1" borderId="0" fillId="0" fontId="5" numFmtId="174" pivotButton="0" quotePrefix="1" xfId="2">
      <alignment horizontal="center"/>
    </xf>
    <xf applyAlignment="1" borderId="0" fillId="0" fontId="5" numFmtId="3" pivotButton="0" quotePrefix="0" xfId="0">
      <alignment horizontal="right" wrapText="1"/>
    </xf>
    <xf applyAlignment="1" borderId="0" fillId="0" fontId="5" numFmtId="170" pivotButton="0" quotePrefix="0" xfId="0">
      <alignment horizontal="right" wrapText="1"/>
    </xf>
    <xf applyAlignment="1" borderId="2" fillId="0" fontId="5" numFmtId="0" pivotButton="0" quotePrefix="0" xfId="0">
      <alignment vertical="top" wrapText="1"/>
    </xf>
    <xf applyAlignment="1" borderId="0" fillId="0" fontId="5" numFmtId="164" pivotButton="0" quotePrefix="0" xfId="0">
      <alignment horizontal="right" wrapText="1"/>
    </xf>
    <xf applyAlignment="1" borderId="0" fillId="0" fontId="18" numFmtId="3" pivotButton="0" quotePrefix="0" xfId="0">
      <alignment horizontal="right" wrapText="1"/>
    </xf>
    <xf applyAlignment="1" borderId="0" fillId="0" fontId="5" numFmtId="174" pivotButton="0" quotePrefix="0" xfId="0">
      <alignment horizontal="right"/>
    </xf>
    <xf applyAlignment="1" borderId="0" fillId="0" fontId="5" numFmtId="14" pivotButton="0" quotePrefix="0" xfId="0">
      <alignment horizontal="right" wrapText="1"/>
    </xf>
    <xf applyAlignment="1" borderId="3" fillId="0" fontId="5" numFmtId="164" pivotButton="0" quotePrefix="0" xfId="2">
      <alignment vertical="top" wrapText="1"/>
    </xf>
    <xf borderId="0" fillId="0" fontId="5" numFmtId="164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0" fillId="0" fontId="4" numFmtId="164" pivotButton="0" quotePrefix="0" xfId="0"/>
    <xf applyAlignment="1" borderId="3" fillId="0" fontId="19" numFmtId="173" pivotButton="0" quotePrefix="0" xfId="0">
      <alignment vertical="top"/>
    </xf>
    <xf borderId="0" fillId="0" fontId="14" numFmtId="0" pivotButton="0" quotePrefix="0" xfId="0"/>
    <xf applyAlignment="1" borderId="0" fillId="0" fontId="14" numFmtId="0" pivotButton="0" quotePrefix="0" xfId="0">
      <alignment wrapText="1"/>
    </xf>
    <xf applyAlignment="1" borderId="0" fillId="0" fontId="5" numFmtId="171" pivotButton="0" quotePrefix="0" xfId="0">
      <alignment wrapText="1"/>
    </xf>
    <xf applyAlignment="1" borderId="0" fillId="0" fontId="5" numFmtId="0" pivotButton="0" quotePrefix="0" xfId="0">
      <alignment horizontal="left" vertical="top" wrapText="1"/>
    </xf>
    <xf applyAlignment="1" borderId="0" fillId="0" fontId="14" numFmtId="0" pivotButton="0" quotePrefix="0" xfId="0">
      <alignment horizontal="left" vertical="top" wrapText="1"/>
    </xf>
    <xf applyAlignment="1" borderId="3" fillId="0" fontId="5" numFmtId="0" pivotButton="0" quotePrefix="0" xfId="0">
      <alignment horizontal="left" vertical="top" wrapText="1"/>
    </xf>
    <xf borderId="3" fillId="0" fontId="5" numFmtId="164" pivotButton="0" quotePrefix="0" xfId="0"/>
    <xf applyAlignment="1" borderId="3" fillId="0" fontId="5" numFmtId="173" pivotButton="0" quotePrefix="0" xfId="0">
      <alignment vertical="top"/>
    </xf>
    <xf applyAlignment="1" borderId="0" fillId="0" fontId="5" numFmtId="173" pivotButton="0" quotePrefix="0" xfId="0">
      <alignment vertical="top"/>
    </xf>
    <xf applyAlignment="1" borderId="3" fillId="0" fontId="5" numFmtId="164" pivotButton="0" quotePrefix="0" xfId="0">
      <alignment wrapText="1"/>
    </xf>
    <xf borderId="0" fillId="0" fontId="5" numFmtId="174" pivotButton="0" quotePrefix="0" xfId="0"/>
    <xf applyAlignment="1" borderId="0" fillId="0" fontId="5" numFmtId="165" pivotButton="0" quotePrefix="0" xfId="0">
      <alignment vertical="top" wrapText="1"/>
    </xf>
    <xf applyAlignment="1" borderId="3" fillId="0" fontId="14" numFmtId="173" pivotButton="0" quotePrefix="0" xfId="0">
      <alignment vertical="top"/>
    </xf>
    <xf applyAlignment="1" borderId="0" fillId="0" fontId="5" numFmtId="171" pivotButton="0" quotePrefix="0" xfId="0">
      <alignment horizontal="right"/>
    </xf>
    <xf applyAlignment="1" borderId="3" fillId="0" fontId="5" numFmtId="164" pivotButton="0" quotePrefix="0" xfId="0">
      <alignment horizontal="right" wrapText="1"/>
    </xf>
    <xf borderId="3" fillId="0" fontId="14" numFmtId="164" pivotButton="0" quotePrefix="0" xfId="0"/>
    <xf applyAlignment="1" borderId="0" fillId="0" fontId="5" numFmtId="164" pivotButton="0" quotePrefix="0" xfId="0">
      <alignment wrapText="1"/>
    </xf>
    <xf applyAlignment="1" borderId="0" fillId="0" fontId="19" numFmtId="165" pivotButton="0" quotePrefix="0" xfId="0">
      <alignment vertical="top" wrapText="1"/>
    </xf>
    <xf borderId="0" fillId="0" fontId="14" numFmtId="172" pivotButton="0" quotePrefix="0" xfId="0"/>
    <xf applyAlignment="1" borderId="0" fillId="0" fontId="5" numFmtId="164" pivotButton="0" quotePrefix="0" xfId="0">
      <alignment vertical="top" wrapText="1"/>
    </xf>
    <xf borderId="0" fillId="0" fontId="14" numFmtId="175" pivotButton="0" quotePrefix="0" xfId="0"/>
    <xf borderId="0" fillId="0" fontId="14" numFmtId="175" pivotButton="0" quotePrefix="0" xfId="0"/>
    <xf borderId="2" fillId="0" fontId="5" numFmtId="170" pivotButton="0" quotePrefix="0" xfId="0"/>
    <xf borderId="2" fillId="0" fontId="5" numFmtId="175" pivotButton="0" quotePrefix="0" xfId="0"/>
    <xf borderId="4" fillId="0" fontId="14" numFmtId="172" pivotButton="0" quotePrefix="0" xfId="0"/>
    <xf borderId="2" fillId="37" fontId="14" numFmtId="172" pivotButton="0" quotePrefix="0" xfId="0"/>
    <xf borderId="0" fillId="0" fontId="5" numFmtId="174" pivotButton="0" quotePrefix="0" xfId="0"/>
    <xf borderId="2" fillId="0" fontId="5" numFmtId="164" pivotButton="0" quotePrefix="0" xfId="0"/>
    <xf borderId="0" fillId="0" fontId="43" numFmtId="174" pivotButton="0" quotePrefix="0" xfId="0"/>
    <xf borderId="0" fillId="0" fontId="14" numFmtId="176" pivotButton="0" quotePrefix="0" xfId="0"/>
    <xf borderId="0" fillId="0" fontId="14" numFmtId="3" pivotButton="0" quotePrefix="0" xfId="0"/>
    <xf borderId="0" fillId="0" fontId="14" numFmtId="174" pivotButton="0" quotePrefix="0" xfId="5"/>
    <xf borderId="8" fillId="0" fontId="4" numFmtId="0" pivotButton="0" quotePrefix="0" xfId="4"/>
    <xf borderId="0" fillId="0" fontId="4" numFmtId="0" pivotButton="0" quotePrefix="0" xfId="0"/>
    <xf applyAlignment="1" borderId="3" fillId="0" fontId="4" numFmtId="0" pivotButton="0" quotePrefix="0" xfId="0">
      <alignment vertical="top"/>
    </xf>
    <xf applyAlignment="1" borderId="0" fillId="0" fontId="4" numFmtId="0" pivotButton="0" quotePrefix="0" xfId="0">
      <alignment vertical="top"/>
    </xf>
    <xf borderId="0" fillId="0" fontId="4" numFmtId="177" pivotButton="0" quotePrefix="0" xfId="0"/>
    <xf borderId="0" fillId="0" fontId="4" numFmtId="169" pivotButton="0" quotePrefix="0" xfId="0"/>
    <xf borderId="3" fillId="0" fontId="4" numFmtId="0" pivotButton="0" quotePrefix="0" xfId="0"/>
    <xf borderId="0" fillId="0" fontId="4" numFmtId="0" pivotButton="0" quotePrefix="0" xfId="4"/>
    <xf borderId="18" fillId="0" fontId="0" numFmtId="0" pivotButton="0" quotePrefix="0" xfId="0"/>
    <xf borderId="0" fillId="0" fontId="44" numFmtId="3" pivotButton="0" quotePrefix="0" xfId="0"/>
    <xf borderId="0" fillId="0" fontId="5" numFmtId="16" pivotButton="0" quotePrefix="0" xfId="0"/>
    <xf borderId="0" fillId="0" fontId="5" numFmtId="43" pivotButton="0" quotePrefix="0" xfId="0"/>
    <xf borderId="0" fillId="38" fontId="14" numFmtId="3" pivotButton="0" quotePrefix="0" xfId="0"/>
    <xf borderId="0" fillId="0" fontId="45" numFmtId="43" pivotButton="0" quotePrefix="0" xfId="0"/>
    <xf borderId="0" fillId="0" fontId="5" numFmtId="178" pivotButton="0" quotePrefix="0" xfId="0"/>
    <xf borderId="0" fillId="0" fontId="14" numFmtId="3" pivotButton="0" quotePrefix="0" xfId="0"/>
    <xf applyAlignment="1" borderId="0" fillId="0" fontId="5" numFmtId="0" pivotButton="0" quotePrefix="0" xfId="0">
      <alignment wrapText="1"/>
    </xf>
    <xf borderId="0" fillId="0" fontId="14" numFmtId="16" pivotButton="0" quotePrefix="0" xfId="0"/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borderId="0" fillId="0" fontId="14" numFmtId="0" pivotButton="0" quotePrefix="0" xfId="5"/>
    <xf borderId="0" fillId="0" fontId="14" numFmtId="174" pivotButton="0" quotePrefix="0" xfId="0"/>
    <xf borderId="0" fillId="0" fontId="14" numFmtId="174" pivotButton="0" quotePrefix="0" xfId="0"/>
    <xf borderId="0" fillId="39" fontId="14" numFmtId="3" pivotButton="0" quotePrefix="0" xfId="0"/>
    <xf applyAlignment="1" borderId="0" fillId="0" fontId="19" numFmtId="173" pivotButton="0" quotePrefix="0" xfId="0">
      <alignment vertical="top"/>
    </xf>
    <xf applyAlignment="1" borderId="1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  <xf applyAlignment="1" borderId="1" fillId="0" fontId="14" numFmtId="0" pivotButton="0" quotePrefix="0" xfId="0">
      <alignment horizontal="left" vertical="top" wrapText="1"/>
    </xf>
    <xf applyAlignment="1" borderId="1" fillId="0" fontId="14" numFmtId="0" pivotButton="0" quotePrefix="0" xfId="0">
      <alignment horizontal="left" vertical="top"/>
    </xf>
    <xf applyAlignment="1" borderId="1" fillId="0" fontId="10" numFmtId="0" pivotButton="0" quotePrefix="0" xfId="0">
      <alignment horizontal="left" vertical="top" wrapText="1"/>
    </xf>
    <xf borderId="0" fillId="0" fontId="0" numFmtId="166" pivotButton="0" quotePrefix="0" xfId="1"/>
    <xf borderId="4" fillId="0" fontId="14" numFmtId="172" pivotButton="0" quotePrefix="0" xfId="0"/>
    <xf borderId="0" fillId="0" fontId="5" numFmtId="170" pivotButton="0" quotePrefix="0" xfId="0"/>
    <xf borderId="0" fillId="0" fontId="5" numFmtId="178" pivotButton="0" quotePrefix="0" xfId="0"/>
    <xf applyAlignment="1" borderId="0" fillId="0" fontId="5" numFmtId="170" pivotButton="0" quotePrefix="0" xfId="0">
      <alignment horizontal="right"/>
    </xf>
    <xf applyAlignment="1" borderId="0" fillId="0" fontId="18" numFmtId="170" pivotButton="0" quotePrefix="0" xfId="0">
      <alignment horizontal="right"/>
    </xf>
    <xf borderId="2" fillId="0" fontId="5" numFmtId="170" pivotButton="0" quotePrefix="0" xfId="0"/>
    <xf borderId="2" fillId="0" fontId="5" numFmtId="164" pivotButton="0" quotePrefix="0" xfId="0"/>
    <xf borderId="0" fillId="0" fontId="5" numFmtId="164" pivotButton="0" quotePrefix="0" xfId="0"/>
    <xf borderId="2" fillId="0" fontId="5" numFmtId="175" pivotButton="0" quotePrefix="0" xfId="0"/>
    <xf borderId="0" fillId="3" fontId="5" numFmtId="170" pivotButton="0" quotePrefix="0" xfId="0"/>
    <xf borderId="0" fillId="4" fontId="5" numFmtId="170" pivotButton="0" quotePrefix="0" xfId="0"/>
    <xf borderId="6" fillId="0" fontId="5" numFmtId="170" pivotButton="0" quotePrefix="0" xfId="0"/>
    <xf borderId="8" fillId="0" fontId="5" numFmtId="170" pivotButton="0" quotePrefix="0" xfId="0"/>
    <xf borderId="2" fillId="0" fontId="14" numFmtId="172" pivotButton="0" quotePrefix="0" xfId="0"/>
    <xf borderId="2" fillId="37" fontId="14" numFmtId="172" pivotButton="0" quotePrefix="0" xfId="0"/>
    <xf borderId="0" fillId="0" fontId="14" numFmtId="171" pivotButton="0" quotePrefix="0" xfId="0"/>
    <xf applyAlignment="1" borderId="0" fillId="0" fontId="14" numFmtId="171" pivotButton="0" quotePrefix="0" xfId="0">
      <alignment wrapText="1"/>
    </xf>
    <xf borderId="6" fillId="0" fontId="14" numFmtId="171" pivotButton="0" quotePrefix="0" xfId="0"/>
    <xf applyAlignment="1" borderId="3" fillId="0" fontId="14" numFmtId="173" pivotButton="0" quotePrefix="0" xfId="0">
      <alignment vertical="top"/>
    </xf>
    <xf applyAlignment="1" borderId="0" fillId="0" fontId="14" numFmtId="173" pivotButton="0" quotePrefix="0" xfId="0">
      <alignment vertical="top"/>
    </xf>
    <xf applyAlignment="1" borderId="0" fillId="0" fontId="14" numFmtId="165" pivotButton="0" quotePrefix="0" xfId="0">
      <alignment vertical="top" wrapText="1"/>
    </xf>
    <xf applyAlignment="1" borderId="0" fillId="0" fontId="19" numFmtId="173" pivotButton="0" quotePrefix="0" xfId="0">
      <alignment vertical="top"/>
    </xf>
    <xf borderId="6" fillId="0" fontId="14" numFmtId="164" pivotButton="0" quotePrefix="0" xfId="0"/>
    <xf borderId="0" fillId="0" fontId="14" numFmtId="164" pivotButton="0" quotePrefix="0" xfId="0"/>
    <xf borderId="3" fillId="0" fontId="14" numFmtId="164" pivotButton="0" quotePrefix="0" xfId="0"/>
    <xf borderId="0" fillId="0" fontId="14" numFmtId="175" pivotButton="0" quotePrefix="0" xfId="0"/>
    <xf borderId="0" fillId="0" fontId="14" numFmtId="172" pivotButton="0" quotePrefix="0" xfId="0"/>
    <xf borderId="0" fillId="0" fontId="14" numFmtId="170" pivotButton="0" quotePrefix="0" xfId="0"/>
    <xf applyAlignment="1" borderId="0" fillId="0" fontId="5" numFmtId="171" pivotButton="0" quotePrefix="0" xfId="0">
      <alignment wrapText="1"/>
    </xf>
    <xf borderId="0" fillId="0" fontId="5" numFmtId="171" pivotButton="0" quotePrefix="0" xfId="0"/>
    <xf applyAlignment="1" borderId="0" fillId="0" fontId="5" numFmtId="171" pivotButton="0" quotePrefix="0" xfId="0">
      <alignment horizontal="right"/>
    </xf>
    <xf applyAlignment="1" borderId="0" fillId="0" fontId="5" numFmtId="173" pivotButton="0" quotePrefix="0" xfId="0">
      <alignment vertical="top"/>
    </xf>
    <xf applyAlignment="1" borderId="0" fillId="0" fontId="5" numFmtId="165" pivotButton="0" quotePrefix="0" xfId="0">
      <alignment vertical="top" wrapText="1"/>
    </xf>
    <xf applyAlignment="1" borderId="0" fillId="0" fontId="19" numFmtId="165" pivotButton="0" quotePrefix="0" xfId="0">
      <alignment vertical="top" wrapText="1"/>
    </xf>
    <xf applyAlignment="1" borderId="6" fillId="0" fontId="5" numFmtId="164" pivotButton="0" quotePrefix="0" xfId="0">
      <alignment wrapText="1"/>
    </xf>
    <xf applyAlignment="1" borderId="0" fillId="0" fontId="5" numFmtId="164" pivotButton="0" quotePrefix="0" xfId="0">
      <alignment horizontal="right" wrapText="1"/>
    </xf>
    <xf applyAlignment="1" borderId="0" fillId="0" fontId="5" numFmtId="164" pivotButton="0" quotePrefix="0" xfId="0">
      <alignment wrapText="1"/>
    </xf>
    <xf applyAlignment="1" borderId="0" fillId="0" fontId="5" numFmtId="170" pivotButton="0" quotePrefix="0" xfId="0">
      <alignment horizontal="right" wrapText="1"/>
    </xf>
    <xf borderId="6" fillId="0" fontId="5" numFmtId="164" pivotButton="0" quotePrefix="0" xfId="0"/>
    <xf applyAlignment="1" borderId="0" fillId="0" fontId="5" numFmtId="164" pivotButton="0" quotePrefix="0" xfId="0">
      <alignment horizontal="right"/>
    </xf>
    <xf applyAlignment="1" borderId="3" fillId="0" fontId="5" numFmtId="164" pivotButton="0" quotePrefix="0" xfId="2">
      <alignment vertical="top" wrapText="1"/>
    </xf>
    <xf applyAlignment="1" borderId="3" fillId="0" fontId="5" numFmtId="164" pivotButton="0" quotePrefix="0" xfId="0">
      <alignment wrapText="1"/>
    </xf>
    <xf applyAlignment="1" borderId="3" fillId="0" fontId="5" numFmtId="164" pivotButton="0" quotePrefix="0" xfId="0">
      <alignment horizontal="right" wrapText="1"/>
    </xf>
    <xf applyAlignment="1" borderId="7" fillId="0" fontId="5" numFmtId="164" pivotButton="0" quotePrefix="0" xfId="0">
      <alignment wrapText="1"/>
    </xf>
    <xf borderId="0" fillId="0" fontId="4" numFmtId="164" pivotButton="0" quotePrefix="0" xfId="0"/>
    <xf applyAlignment="1" borderId="3" fillId="0" fontId="5" numFmtId="173" pivotButton="0" quotePrefix="0" xfId="0">
      <alignment vertical="top"/>
    </xf>
    <xf borderId="0" fillId="0" fontId="4" numFmtId="169" pivotButton="0" quotePrefix="0" xfId="0"/>
    <xf borderId="0" fillId="0" fontId="4" numFmtId="177" pivotButton="0" quotePrefix="0" xfId="0"/>
    <xf borderId="3" fillId="0" fontId="5" numFmtId="164" pivotButton="0" quotePrefix="0" xfId="0"/>
    <xf applyAlignment="1" borderId="0" fillId="0" fontId="5" numFmtId="164" pivotButton="0" quotePrefix="0" xfId="0">
      <alignment vertical="top" wrapText="1"/>
    </xf>
    <xf applyAlignment="1" borderId="0" fillId="0" fontId="5" numFmtId="170" pivotButton="0" quotePrefix="0" xfId="0">
      <alignment vertical="top" wrapText="1"/>
    </xf>
    <xf applyAlignment="1" borderId="0" fillId="0" fontId="4" numFmtId="172" pivotButton="0" quotePrefix="0" xfId="0">
      <alignment vertical="top"/>
    </xf>
    <xf applyAlignment="1" borderId="0" fillId="0" fontId="4" numFmtId="171" pivotButton="0" quotePrefix="0" xfId="0">
      <alignment vertical="top"/>
    </xf>
    <xf applyAlignment="1" borderId="0" fillId="0" fontId="4" numFmtId="171" pivotButton="0" quotePrefix="0" xfId="0">
      <alignment vertical="top" wrapText="1"/>
    </xf>
    <xf applyAlignment="1" borderId="1" fillId="0" fontId="4" numFmtId="171" pivotButton="0" quotePrefix="0" xfId="0">
      <alignment vertical="top"/>
    </xf>
    <xf applyAlignment="1" borderId="0" fillId="0" fontId="4" numFmtId="173" pivotButton="0" quotePrefix="0" xfId="0">
      <alignment vertical="top"/>
    </xf>
    <xf applyAlignment="1" borderId="0" fillId="0" fontId="16" numFmtId="173" pivotButton="0" quotePrefix="0" xfId="0">
      <alignment vertical="top"/>
    </xf>
    <xf applyAlignment="1" borderId="0" fillId="0" fontId="17" numFmtId="164" pivotButton="0" quotePrefix="0" xfId="0">
      <alignment vertical="top"/>
    </xf>
    <xf applyAlignment="1" borderId="0" fillId="0" fontId="5" numFmtId="164" pivotButton="0" quotePrefix="0" xfId="0">
      <alignment vertical="top"/>
    </xf>
    <xf applyAlignment="1" borderId="1" fillId="0" fontId="10" numFmtId="164" pivotButton="0" quotePrefix="0" xfId="0">
      <alignment horizontal="center"/>
    </xf>
    <xf applyAlignment="1" borderId="1" fillId="0" fontId="10" numFmtId="164" pivotButton="0" quotePrefix="1" xfId="0">
      <alignment horizontal="center"/>
    </xf>
    <xf borderId="1" fillId="0" fontId="10" numFmtId="164" pivotButton="0" quotePrefix="0" xfId="0"/>
    <xf borderId="0" fillId="0" fontId="0" numFmtId="164" pivotButton="0" quotePrefix="0" xfId="0"/>
    <xf applyAlignment="1" borderId="0" fillId="0" fontId="10" numFmtId="164" pivotButton="0" quotePrefix="0" xfId="0">
      <alignment horizontal="right"/>
    </xf>
    <xf applyAlignment="1" borderId="1" fillId="0" fontId="8" numFmtId="165" pivotButton="0" quotePrefix="0" xfId="0">
      <alignment horizontal="center"/>
    </xf>
    <xf applyAlignment="1" borderId="1" fillId="0" fontId="8" numFmtId="164" pivotButton="0" quotePrefix="0" xfId="0">
      <alignment horizontal="center"/>
    </xf>
    <xf borderId="0" fillId="0" fontId="0" numFmtId="169" pivotButton="0" quotePrefix="0" xfId="0"/>
    <xf applyAlignment="1" borderId="0" fillId="0" fontId="8" numFmtId="167" pivotButton="0" quotePrefix="0" xfId="0">
      <alignment horizontal="center"/>
    </xf>
    <xf applyAlignment="1" borderId="1" fillId="0" fontId="14" numFmtId="164" pivotButton="0" quotePrefix="0" xfId="0">
      <alignment horizontal="center"/>
    </xf>
    <xf applyAlignment="1" borderId="1" fillId="0" fontId="14" numFmtId="165" pivotButton="0" quotePrefix="0" xfId="0">
      <alignment horizontal="center"/>
    </xf>
    <xf borderId="0" fillId="0" fontId="11" numFmtId="164" pivotButton="0" quotePrefix="0" xfId="0"/>
    <xf applyAlignment="1" borderId="1" fillId="0" fontId="0" numFmtId="168" pivotButton="0" quotePrefix="0" xfId="0">
      <alignment horizontal="center" wrapText="1"/>
    </xf>
    <xf applyAlignment="1" borderId="0" fillId="0" fontId="8" numFmtId="164" pivotButton="0" quotePrefix="0" xfId="0">
      <alignment horizontal="center"/>
    </xf>
    <xf applyAlignment="1" borderId="3" fillId="0" fontId="19" numFmtId="173" pivotButton="0" quotePrefix="0" xfId="0">
      <alignment vertical="top"/>
    </xf>
    <xf borderId="6" fillId="0" fontId="5" numFmtId="164" pivotButton="0" quotePrefix="0" xfId="3"/>
  </cellXfs>
  <cellStyles count="56">
    <cellStyle builtinId="0" name="Normal" xfId="0"/>
    <cellStyle builtinId="5" name="Percent" xfId="1"/>
    <cellStyle builtinId="3" name="Comma" xfId="2"/>
    <cellStyle builtinId="4" name="Currency" xfId="3"/>
    <cellStyle name="Normal 2" xfId="4"/>
    <cellStyle name="Comma 2" xfId="5"/>
    <cellStyle name="Currency 2" xfId="6"/>
    <cellStyle builtinId="15" name="Title" xfId="7"/>
    <cellStyle builtinId="16" name="Heading 1" xfId="8"/>
    <cellStyle builtinId="17" name="Heading 2" xfId="9"/>
    <cellStyle builtinId="18" name="Heading 3" xfId="10"/>
    <cellStyle builtinId="19" name="Heading 4" xfId="11"/>
    <cellStyle builtinId="26" name="Good" xfId="12"/>
    <cellStyle builtinId="27" name="Bad" xfId="13"/>
    <cellStyle builtinId="28" name="Neutral" xfId="14"/>
    <cellStyle builtinId="20" name="Input" xfId="15"/>
    <cellStyle builtinId="21" name="Output" xfId="16"/>
    <cellStyle builtinId="22" name="Calculation" xfId="17"/>
    <cellStyle builtinId="24" name="Linked Cell" xfId="18"/>
    <cellStyle builtinId="23" name="Check Cell" xfId="19"/>
    <cellStyle builtinId="11" name="Warning Text" xfId="20"/>
    <cellStyle builtinId="53" name="Explanatory Text" xfId="21"/>
    <cellStyle builtinId="25" name="Total" xfId="22"/>
    <cellStyle builtinId="29" name="Accent1" xfId="23"/>
    <cellStyle builtinId="30" name="20% - Accent1" xfId="24"/>
    <cellStyle builtinId="31" name="40% - Accent1" xfId="25"/>
    <cellStyle builtinId="32" name="60% - Accent1" xfId="26"/>
    <cellStyle builtinId="33" name="Accent2" xfId="27"/>
    <cellStyle builtinId="34" name="20% - Accent2" xfId="28"/>
    <cellStyle builtinId="35" name="40% - Accent2" xfId="29"/>
    <cellStyle builtinId="36" name="60% - Accent2" xfId="30"/>
    <cellStyle builtinId="37" name="Accent3" xfId="31"/>
    <cellStyle builtinId="38" name="20% - Accent3" xfId="32"/>
    <cellStyle builtinId="39" name="40% - Accent3" xfId="33"/>
    <cellStyle builtinId="40" name="60% - Accent3" xfId="34"/>
    <cellStyle builtinId="41" name="Accent4" xfId="35"/>
    <cellStyle builtinId="42" name="20% - Accent4" xfId="36"/>
    <cellStyle builtinId="43" name="40% - Accent4" xfId="37"/>
    <cellStyle builtinId="44" name="60% - Accent4" xfId="38"/>
    <cellStyle builtinId="45" name="Accent5" xfId="39"/>
    <cellStyle builtinId="46" name="20% - Accent5" xfId="40"/>
    <cellStyle builtinId="47" name="40% - Accent5" xfId="41"/>
    <cellStyle builtinId="48" name="60% - Accent5" xfId="42"/>
    <cellStyle builtinId="49" name="Accent6" xfId="43"/>
    <cellStyle builtinId="50" name="20% - Accent6" xfId="44"/>
    <cellStyle builtinId="51" name="40% - Accent6" xfId="45"/>
    <cellStyle builtinId="52" name="60% - Accent6" xfId="46"/>
    <cellStyle name="Normal 3" xfId="47"/>
    <cellStyle name="Note 2" xfId="48"/>
    <cellStyle name="Comma 3" xfId="49"/>
    <cellStyle name="Normal 3 2" xfId="50"/>
    <cellStyle name="Percent 2" xfId="51"/>
    <cellStyle name="Percent 3" xfId="52"/>
    <cellStyle name="Normal 4" xfId="53"/>
    <cellStyle name="Comma 4" xfId="54"/>
    <cellStyle name="Normal 5" xfId="5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/xl/externalLinks/externalLink2.xml" Type="http://schemas.openxmlformats.org/officeDocument/2006/relationships/externalLink" /><Relationship Id="rId14" Target="/xl/externalLinks/externalLink3.xml" Type="http://schemas.openxmlformats.org/officeDocument/2006/relationships/externalLink" /><Relationship Id="rId15" Target="sharedStrings.xml" Type="http://schemas.openxmlformats.org/officeDocument/2006/relationships/sharedStrings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John Elliott</author>
    <author>Student1</author>
  </authors>
  <commentList>
    <comment authorId="0" ref="H51" shapeId="0">
      <text>
        <t>John Elliott:
Credit from previous incorrect meter reads is applied
</t>
      </text>
    </comment>
    <comment authorId="1" ref="D74" shapeId="0">
      <text>
        <t>Student1:
Make sure that it is not counting the overcharge anymore.</t>
      </text>
    </comment>
  </commentList>
</comments>
</file>

<file path=xl/comments/comment2.xml><?xml version="1.0" encoding="utf-8"?>
<comments xmlns="http://schemas.openxmlformats.org/spreadsheetml/2006/main">
  <authors>
    <author>ucmuser</author>
  </authors>
  <commentList>
    <comment authorId="0" ref="I15" shapeId="0">
      <text>
        <t>gpicazo: average of last 2 years. Extrapolation was at 12%
</t>
      </text>
    </comment>
    <comment authorId="0" ref="J15" shapeId="0">
      <text>
        <t>gpicazo: average 2 years
</t>
      </text>
    </comment>
    <comment authorId="0" ref="I18" shapeId="0">
      <text>
        <t>ucmuser:
Average</t>
      </text>
    </comment>
    <comment authorId="0" ref="I25" shapeId="0">
      <text>
        <t>ucmuser:
average</t>
      </text>
    </comment>
    <comment authorId="0" ref="I28" shapeId="0">
      <text>
        <t>ucmuser:
average
</t>
      </text>
    </comment>
    <comment authorId="0" ref="I31" shapeId="0">
      <text>
        <t>ucmuser:
average
</t>
      </text>
    </comment>
    <comment authorId="0" ref="I34" shapeId="0">
      <text>
        <t>ucmuser:
average
</t>
      </text>
    </comment>
    <comment authorId="0" ref="I37" shapeId="0">
      <text>
        <t>ucmuser:
average
</t>
      </text>
    </comment>
    <comment authorId="0" ref="I40" shapeId="0">
      <text>
        <t>ucmuser:
average
</t>
      </text>
    </comment>
    <comment authorId="0" ref="I43" shapeId="0">
      <text>
        <t>ucmuser:
average
</t>
      </text>
    </comment>
    <comment authorId="0" ref="I46" shapeId="0">
      <text>
        <t>ucmuser:
average
</t>
      </text>
    </comment>
  </commentList>
</comments>
</file>

<file path=xl/comments/comment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authorId="0" ref="B5" shapeId="0">
      <text>
        <t>ucmuser:
= PGE 0646833510 UCM_Gas
</t>
      </text>
    </comment>
    <comment authorId="1" ref="E12" shapeId="0">
      <text>
        <t>Kanoa: Meter is broken. 
Averaged last two years
</t>
      </text>
    </comment>
    <comment authorId="0" ref="F12" shapeId="0">
      <text>
        <t>Gabriel: Average of last two years
</t>
      </text>
    </comment>
    <comment authorId="0" ref="G12" shapeId="0">
      <text>
        <t>Gabriel: average usage from 2015/16 recharges
</t>
      </text>
    </comment>
    <comment authorId="0" ref="H12" shapeId="0">
      <text>
        <t>ucmuser:
meter broken, avg of last two years
</t>
      </text>
    </comment>
    <comment authorId="2" ref="I12" shapeId="0">
      <text>
        <t>FMEnergy:
last 2 year average</t>
      </text>
    </comment>
    <comment authorId="3" ref="K12" shapeId="0">
      <text>
        <t>James Ly:
Last 2 years' average
</t>
      </text>
    </comment>
    <comment authorId="0" ref="M12" shapeId="0">
      <text>
        <t>ucmuser:
2014 and 2015 average-Gp
</t>
      </text>
    </comment>
    <comment authorId="4" ref="A16" shapeId="0">
      <text>
        <t>Ashley Chiang:
Muir pass
</t>
      </text>
    </comment>
    <comment authorId="5" ref="A34" shapeId="0">
      <text>
        <t>Daniel:2,000 extra therms were added to Jun 2012 in Cathedral.
</t>
      </text>
    </comment>
  </commentList>
</comments>
</file>

<file path=xl/comments/comment4.xml><?xml version="1.0" encoding="utf-8"?>
<comments xmlns="http://schemas.openxmlformats.org/spreadsheetml/2006/main">
  <authors>
    <author>ucmuser</author>
  </authors>
  <commentList>
    <comment authorId="0" ref="B5" shapeId="0">
      <text>
        <t>ucmuser:
=City of Merced (Actual*748/1000)/$
</t>
      </text>
    </comment>
    <comment authorId="0" ref="D8" shapeId="0">
      <text>
        <t>ucmuser:
keep an eye on meter, avg of two years
</t>
      </text>
    </comment>
    <comment authorId="0" ref="D44" shapeId="0">
      <text>
        <t>ucmuser:
keep an eye on this</t>
      </text>
    </comment>
  </commentList>
</comments>
</file>

<file path=xl/comments/comment5.xml><?xml version="1.0" encoding="utf-8"?>
<comments xmlns="http://schemas.openxmlformats.org/spreadsheetml/2006/main">
  <authors>
    <author>John Elliott</author>
  </authors>
  <commentList>
    <comment authorId="0" ref="C140" shapeId="0">
      <text>
        <t>John Elliott:
Corrected from previous versions</t>
      </text>
    </comment>
    <comment authorId="0" ref="F140" shapeId="0">
      <text>
        <t>John Elliott:
Corrected from previous versions</t>
      </text>
    </comment>
  </commentList>
</comments>
</file>

<file path=xl/comments/comment6.xml><?xml version="1.0" encoding="utf-8"?>
<comments xmlns="http://schemas.openxmlformats.org/spreadsheetml/2006/main">
  <authors>
    <author>Sajid Mian</author>
  </authors>
  <commentList>
    <comment authorId="0" ref="D7" shapeId="0">
      <text>
        <t>Sajid Mian:
Reset the waterr meter at Dining- on previous visit</t>
      </text>
    </comment>
    <comment authorId="0" ref="D19" shapeId="0">
      <text>
        <t>Sajid Mian:
Ramon took meter readings on 5/2/06. Had great difficulty to access the meter</t>
      </text>
    </comment>
    <comment authorId="0" ref="D106" shapeId="0">
      <text>
        <t>Sajid Mian:
Water meter has been reset</t>
      </text>
    </comment>
  </commentList>
</comments>
</file>

<file path=xl/comments/comment7.xml><?xml version="1.0" encoding="utf-8"?>
<comments xmlns="http://schemas.openxmlformats.org/spreadsheetml/2006/main">
  <authors>
    <author>ucmuser</author>
    <author>FMEnergy</author>
  </authors>
  <commentList>
    <comment authorId="0" ref="I6" shapeId="0">
      <text>
        <t>ucmuser:
All of vt are averaged of previous 2 years
</t>
      </text>
    </comment>
    <comment authorId="0" ref="A31" shapeId="0">
      <text>
        <t>ucmuser:
Return temp broken, value based on averages from other halls. Used average gallon usage per square foot
</t>
      </text>
    </comment>
    <comment authorId="1" ref="K37" shapeId="0">
      <text>
        <t>FMEnergy:
manually calculated from alc
</t>
      </text>
    </comment>
  </commentList>
</comments>
</file>

<file path=xl/externalLinks/_rels/externalLink1.xml.rels><Relationships xmlns="http://schemas.openxmlformats.org/package/2006/relationships"><Relationship Id="rId1" Target="/Users/ucmuser/Box/FMEnergy/Utilities/Utility%20Recharges/Old%20Recharges/Housing_Utility_Summary_2015-2016%20thru%20March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Users/ucmuser/Box/FMEnergy/Utilities/Utility%20Recharges/Old%20Recharges/Housing_Utility_Summary_2016-2017%20thru%20March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/Users/ucmuser/Desktop/Housing_Utility_Summary_2016-2017%20thru%20April-AC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1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:C16"/>
    </sheetView>
  </sheetViews>
  <sheetFormatPr baseColWidth="8" defaultRowHeight="12.75"/>
  <sheetData>
    <row r="1" spans="1:3">
      <c r="A1" t="s">
        <v>0</v>
      </c>
    </row>
    <row r="3" spans="1:3">
      <c r="A3">
        <f>'Electric old'!B4</f>
        <v/>
      </c>
      <c r="B3" s="18">
        <f>'Electric old'!E4+'Electric old'!E16+'Electric old'!E28+'Electric old'!E40+'Electric old'!E52+'Electric old'!E64+'Electric old'!E76+'Electric old'!E88+'Electric old'!E100+'Electric old'!E112+'Electric old'!E124</f>
        <v/>
      </c>
      <c r="C3" s="288">
        <f>B3/$B$16</f>
        <v/>
      </c>
    </row>
    <row r="4" spans="1:3">
      <c r="A4">
        <f>'Electric old'!B5</f>
        <v/>
      </c>
      <c r="B4" s="18">
        <f>'Electric old'!E5+'Electric old'!E17+'Electric old'!E29+'Electric old'!E41+'Electric old'!E53+'Electric old'!E65+'Electric old'!E77+'Electric old'!E89+'Electric old'!E101+'Electric old'!E113+'Electric old'!E125</f>
        <v/>
      </c>
      <c r="C4" s="288">
        <f>B4/$B$16</f>
        <v/>
      </c>
    </row>
    <row r="5" spans="1:3">
      <c r="A5">
        <f>'Electric old'!B6</f>
        <v/>
      </c>
      <c r="B5" s="18">
        <f>'Electric old'!E6+'Electric old'!E18+'Electric old'!E30+'Electric old'!E42+'Electric old'!E54+'Electric old'!E66+'Electric old'!E78+'Electric old'!E90+'Electric old'!E102+'Electric old'!E114+'Electric old'!E126</f>
        <v/>
      </c>
      <c r="C5" s="288">
        <f>B5/$B$16</f>
        <v/>
      </c>
    </row>
    <row r="6" spans="1:3">
      <c r="A6">
        <f>'Electric old'!B7</f>
        <v/>
      </c>
      <c r="B6" s="18">
        <f>'Electric old'!E7+'Electric old'!E19+'Electric old'!E31+'Electric old'!E43+'Electric old'!E55+'Electric old'!E67+'Electric old'!E79+'Electric old'!E91+'Electric old'!E103+'Electric old'!E115+'Electric old'!E127</f>
        <v/>
      </c>
      <c r="C6" s="288">
        <f>B6/$B$16</f>
        <v/>
      </c>
    </row>
    <row r="7" spans="1:3">
      <c r="A7">
        <f>'Electric old'!B8</f>
        <v/>
      </c>
      <c r="B7" s="18">
        <f>'Electric old'!E8+'Electric old'!E20+'Electric old'!E32+'Electric old'!E44+'Electric old'!E56+'Electric old'!E68+'Electric old'!E80+'Electric old'!E92+'Electric old'!E104+'Electric old'!E116+'Electric old'!E128</f>
        <v/>
      </c>
      <c r="C7" s="288">
        <f>B7/$B$16</f>
        <v/>
      </c>
    </row>
    <row r="8" spans="1:3">
      <c r="A8">
        <f>'Electric old'!B9</f>
        <v/>
      </c>
      <c r="B8" s="18">
        <f>'Electric old'!E9+'Electric old'!E21+'Electric old'!E33+'Electric old'!E45+'Electric old'!E57+'Electric old'!E69+'Electric old'!E81+'Electric old'!E93+'Electric old'!E105+'Electric old'!E117+'Electric old'!E129</f>
        <v/>
      </c>
      <c r="C8" s="288">
        <f>B8/$B$16</f>
        <v/>
      </c>
    </row>
    <row r="9" spans="1:3">
      <c r="A9">
        <f>'Electric old'!B10</f>
        <v/>
      </c>
      <c r="B9" s="18">
        <f>'Electric old'!E10+'Electric old'!E22+'Electric old'!E34+'Electric old'!E46+'Electric old'!E58+'Electric old'!E70+'Electric old'!E82+'Electric old'!E94+'Electric old'!E106+'Electric old'!E118+'Electric old'!E130</f>
        <v/>
      </c>
      <c r="C9" s="288">
        <f>B9/$B$16</f>
        <v/>
      </c>
    </row>
    <row r="10" spans="1:3">
      <c r="A10">
        <f>'Electric old'!B11</f>
        <v/>
      </c>
      <c r="B10" s="18">
        <f>'Electric old'!E11+'Electric old'!E23+'Electric old'!E35+'Electric old'!E47+'Electric old'!E59+'Electric old'!E71+'Electric old'!E83+'Electric old'!E95+'Electric old'!E107+'Electric old'!E119+'Electric old'!E131</f>
        <v/>
      </c>
      <c r="C10" s="288">
        <f>B10/$B$16</f>
        <v/>
      </c>
    </row>
    <row r="11" spans="1:3">
      <c r="A11">
        <f>'Electric old'!B12</f>
        <v/>
      </c>
      <c r="B11" s="18">
        <f>'Electric old'!E12+'Electric old'!E24+'Electric old'!E36+'Electric old'!E48+'Electric old'!E60+'Electric old'!E72+'Electric old'!E84+'Electric old'!E96+'Electric old'!E108+'Electric old'!E120+'Electric old'!E132</f>
        <v/>
      </c>
      <c r="C11" s="288">
        <f>B11/$B$16</f>
        <v/>
      </c>
    </row>
    <row r="12" spans="1:3">
      <c r="A12">
        <f>'Electric old'!B13</f>
        <v/>
      </c>
      <c r="B12" s="56" t="n">
        <v>70000</v>
      </c>
      <c r="C12" s="288">
        <f>B12/$B$16</f>
        <v/>
      </c>
    </row>
    <row r="13" spans="1:3">
      <c r="A13">
        <f>'Electric old'!B14</f>
        <v/>
      </c>
      <c r="B13" s="56" t="n">
        <v>70000</v>
      </c>
      <c r="C13" s="288">
        <f>B13/$B$16</f>
        <v/>
      </c>
    </row>
    <row r="14" spans="1:3">
      <c r="A14">
        <f>'Electric old'!B15</f>
        <v/>
      </c>
      <c r="B14" s="56" t="n">
        <v>70000</v>
      </c>
      <c r="C14" s="288">
        <f>B14/$B$16</f>
        <v/>
      </c>
    </row>
    <row r="16" spans="1:3">
      <c r="A16" t="s">
        <v>1</v>
      </c>
      <c r="B16" s="18">
        <f>SUM(B3:B15)</f>
        <v/>
      </c>
    </row>
  </sheetData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12"/>
  <sheetViews>
    <sheetView topLeftCell="A91" workbookViewId="0" zoomScale="115" zoomScaleNormal="115">
      <selection activeCell="E62" sqref="E62"/>
    </sheetView>
  </sheetViews>
  <sheetFormatPr baseColWidth="8" defaultRowHeight="12.75" outlineLevelCol="0"/>
  <cols>
    <col customWidth="1" max="1" min="1" style="8" width="18.7109375"/>
    <col bestFit="1" customWidth="1" max="2" min="2" style="3" width="12.5703125"/>
    <col customWidth="1" max="4" min="3" style="15" width="12.7109375"/>
    <col bestFit="1" customWidth="1" max="5" min="5" style="15" width="13.5703125"/>
    <col customWidth="1" max="6" min="6" style="15" width="13.5703125"/>
    <col customWidth="1" max="7" min="7" style="15" width="12.7109375"/>
    <col customWidth="1" max="9" min="9" style="3" width="18.140625"/>
  </cols>
  <sheetData>
    <row customHeight="1" ht="15.75" r="1" s="3" spans="1:10">
      <c r="A1" s="33" t="s">
        <v>152</v>
      </c>
    </row>
    <row customHeight="1" ht="18" r="2" s="3" spans="1:10">
      <c r="A2" s="10" t="n"/>
    </row>
    <row customHeight="1" ht="25.5" r="3" s="3" spans="1:10">
      <c r="A3" s="34" t="s">
        <v>88</v>
      </c>
      <c r="B3" s="26" t="s">
        <v>4</v>
      </c>
      <c r="C3" s="26" t="s">
        <v>130</v>
      </c>
      <c r="D3" s="26" t="s">
        <v>153</v>
      </c>
      <c r="E3" s="26" t="s">
        <v>154</v>
      </c>
      <c r="F3" s="26" t="s">
        <v>89</v>
      </c>
      <c r="G3" s="26" t="s">
        <v>50</v>
      </c>
    </row>
    <row r="4" spans="1:10">
      <c r="A4" s="287" t="s">
        <v>155</v>
      </c>
      <c r="B4" s="6" t="s">
        <v>133</v>
      </c>
      <c r="C4" s="12" t="n"/>
      <c r="D4" s="13" t="n"/>
      <c r="E4" s="13" t="n"/>
      <c r="F4" s="13" t="n"/>
      <c r="G4" s="354" t="n"/>
    </row>
    <row r="5" spans="1:10">
      <c r="B5" s="6" t="s">
        <v>134</v>
      </c>
      <c r="C5" s="12" t="n"/>
      <c r="D5" s="13" t="n"/>
      <c r="E5" s="13" t="n"/>
      <c r="F5" s="13" t="n"/>
      <c r="G5" s="354" t="n"/>
    </row>
    <row r="6" spans="1:10">
      <c r="B6" s="6" t="s">
        <v>136</v>
      </c>
      <c r="C6" s="12" t="n"/>
      <c r="D6" s="13" t="n"/>
      <c r="E6" s="13" t="n"/>
      <c r="F6" s="13" t="n"/>
      <c r="G6" s="354" t="n"/>
    </row>
    <row r="7" spans="1:10">
      <c r="B7" s="6" t="s">
        <v>138</v>
      </c>
      <c r="C7" s="12" t="n">
        <v>38838</v>
      </c>
      <c r="D7" s="13" t="n">
        <v>218403</v>
      </c>
      <c r="E7" s="13" t="n">
        <v>218403</v>
      </c>
      <c r="F7" s="353" t="n">
        <v>1.466827</v>
      </c>
      <c r="G7" s="354">
        <f>(E7/1000)*1.466827</f>
        <v/>
      </c>
    </row>
    <row r="8" spans="1:10">
      <c r="B8" s="6" t="s">
        <v>140</v>
      </c>
      <c r="C8" s="12" t="n">
        <v>38869</v>
      </c>
      <c r="D8" s="4" t="n">
        <v>0</v>
      </c>
      <c r="E8" s="13" t="n">
        <v>119456</v>
      </c>
      <c r="F8" s="353" t="n">
        <v>1.4599935478</v>
      </c>
      <c r="G8" s="354">
        <f>(E8/1000)*1.4599935478</f>
        <v/>
      </c>
      <c r="I8" s="17" t="n"/>
    </row>
    <row r="9" spans="1:10">
      <c r="B9" s="6" t="s">
        <v>141</v>
      </c>
      <c r="C9" s="12" t="n">
        <v>38896</v>
      </c>
      <c r="D9" s="13" t="n">
        <v>136405</v>
      </c>
      <c r="E9" s="13" t="n">
        <v>136405</v>
      </c>
      <c r="F9" s="353" t="n">
        <v>1.4480832864</v>
      </c>
      <c r="G9" s="354">
        <f>(E9/1000)*1.4480832864</f>
        <v/>
      </c>
      <c r="I9" s="23" t="n"/>
    </row>
    <row r="10" spans="1:10">
      <c r="B10" s="6" t="s">
        <v>142</v>
      </c>
      <c r="C10" s="12" t="n">
        <v>38925</v>
      </c>
      <c r="D10" s="13" t="n">
        <v>157566</v>
      </c>
      <c r="E10" s="13" t="n">
        <v>21161</v>
      </c>
      <c r="F10" s="353" t="n">
        <v>1.43966296</v>
      </c>
      <c r="G10" s="354">
        <f>(E10/1000)*1.43966296</f>
        <v/>
      </c>
      <c r="I10" s="24" t="n"/>
    </row>
    <row r="11" spans="1:10">
      <c r="B11" s="6" t="s">
        <v>143</v>
      </c>
      <c r="C11" s="12" t="n">
        <v>38965</v>
      </c>
      <c r="D11" s="13" t="n">
        <v>202655</v>
      </c>
      <c r="E11" s="13">
        <f>D11-D10</f>
        <v/>
      </c>
      <c r="F11" s="353" t="n">
        <v>1.4295233641</v>
      </c>
      <c r="G11" s="354">
        <f>(E11/1000)*1.4295233641</f>
        <v/>
      </c>
      <c r="I11" s="24" t="n"/>
    </row>
    <row r="12" spans="1:10">
      <c r="B12" s="6" t="s">
        <v>144</v>
      </c>
      <c r="C12" s="12" t="n">
        <v>38993</v>
      </c>
      <c r="D12" s="13" t="n">
        <v>279159</v>
      </c>
      <c r="E12" s="13">
        <f>D12-D11</f>
        <v/>
      </c>
      <c r="F12" s="353" t="n">
        <v>1.424126085998608</v>
      </c>
      <c r="G12" s="354">
        <f>E12/1000*F12</f>
        <v/>
      </c>
    </row>
    <row r="13" spans="1:10">
      <c r="B13" s="6" t="s">
        <v>145</v>
      </c>
      <c r="C13" s="12" t="n">
        <v>39035</v>
      </c>
      <c r="D13" s="13" t="n">
        <v>390168</v>
      </c>
      <c r="E13" s="13">
        <f>D13-D12</f>
        <v/>
      </c>
      <c r="F13" s="353" t="n">
        <v>1.4306</v>
      </c>
      <c r="G13" s="354">
        <f>E13/1000*F13</f>
        <v/>
      </c>
      <c r="I13" s="18" t="n"/>
    </row>
    <row r="14" spans="1:10">
      <c r="B14" s="6" t="s">
        <v>146</v>
      </c>
      <c r="C14" s="12" t="n">
        <v>39056</v>
      </c>
      <c r="D14" s="13" t="n">
        <v>433393</v>
      </c>
      <c r="E14" s="13">
        <f>D14-D13</f>
        <v/>
      </c>
      <c r="F14" s="353" t="n">
        <v>1.434</v>
      </c>
      <c r="G14" s="354">
        <f>E14/1000*F14</f>
        <v/>
      </c>
    </row>
    <row r="15" spans="1:10">
      <c r="B15" s="6" t="s">
        <v>147</v>
      </c>
      <c r="C15" s="12" t="n">
        <v>38725</v>
      </c>
      <c r="D15" s="75" t="n">
        <v>463056</v>
      </c>
      <c r="E15" s="13">
        <f>D15-D14</f>
        <v/>
      </c>
      <c r="F15" s="353" t="n">
        <v>1.459097532447671</v>
      </c>
      <c r="G15" s="354">
        <f>E15/1000*F15</f>
        <v/>
      </c>
    </row>
    <row r="16" spans="1:10">
      <c r="A16" s="287" t="s">
        <v>156</v>
      </c>
      <c r="B16" s="6" t="s">
        <v>133</v>
      </c>
      <c r="C16" s="12" t="n"/>
      <c r="D16" s="13" t="n"/>
      <c r="E16" s="13" t="n"/>
      <c r="F16" s="13" t="n"/>
      <c r="G16" s="354" t="n"/>
    </row>
    <row r="17" spans="1:10">
      <c r="B17" s="6" t="s">
        <v>134</v>
      </c>
      <c r="C17" s="12" t="n"/>
      <c r="D17" s="13" t="n"/>
      <c r="E17" s="13" t="n"/>
      <c r="F17" s="13" t="n"/>
      <c r="G17" s="354" t="n"/>
    </row>
    <row r="18" spans="1:10">
      <c r="B18" s="6" t="s">
        <v>136</v>
      </c>
      <c r="C18" s="12" t="n"/>
      <c r="D18" s="13" t="n">
        <v>357993</v>
      </c>
      <c r="E18" s="13" t="n"/>
      <c r="F18" s="13" t="n"/>
      <c r="G18" s="354" t="n"/>
    </row>
    <row r="19" spans="1:10">
      <c r="B19" s="6" t="s">
        <v>138</v>
      </c>
      <c r="C19" s="12" t="n">
        <v>38839</v>
      </c>
      <c r="D19" s="13" t="n">
        <v>456376</v>
      </c>
      <c r="E19" s="13">
        <f>D19-D18</f>
        <v/>
      </c>
      <c r="F19" s="353" t="n">
        <v>1.466827</v>
      </c>
      <c r="G19" s="354">
        <f>(E19/1000)*1.466827</f>
        <v/>
      </c>
    </row>
    <row r="20" spans="1:10">
      <c r="B20" s="6" t="s">
        <v>140</v>
      </c>
      <c r="C20" s="12" t="n">
        <v>38869</v>
      </c>
      <c r="D20" s="13" t="n">
        <v>521384</v>
      </c>
      <c r="E20" s="13">
        <f>D20-D19</f>
        <v/>
      </c>
      <c r="F20" s="353" t="n">
        <v>1.4599935478</v>
      </c>
      <c r="G20" s="354">
        <f>(E20/1000)*1.4599935478</f>
        <v/>
      </c>
      <c r="I20" s="361" t="n"/>
    </row>
    <row r="21" spans="1:10">
      <c r="B21" s="6" t="s">
        <v>141</v>
      </c>
      <c r="C21" s="12" t="n">
        <v>38896</v>
      </c>
      <c r="D21" s="13" t="n">
        <v>527288</v>
      </c>
      <c r="E21" s="13">
        <f>D21-D20</f>
        <v/>
      </c>
      <c r="F21" s="353" t="n">
        <v>1.4480832864</v>
      </c>
      <c r="G21" s="354">
        <f>(E21/1000)*1.4480832864</f>
        <v/>
      </c>
      <c r="I21" s="17" t="n"/>
    </row>
    <row r="22" spans="1:10">
      <c r="B22" s="6" t="s">
        <v>142</v>
      </c>
      <c r="C22" s="12" t="n">
        <v>38925</v>
      </c>
      <c r="D22" s="13" t="n">
        <v>537280</v>
      </c>
      <c r="E22" s="13" t="n">
        <v>9992</v>
      </c>
      <c r="F22" s="353" t="n">
        <v>1.43966296</v>
      </c>
      <c r="G22" s="354">
        <f>(E22/1000)*1.43966296</f>
        <v/>
      </c>
      <c r="I22" s="22" t="n"/>
    </row>
    <row r="23" spans="1:10">
      <c r="B23" s="6" t="s">
        <v>143</v>
      </c>
      <c r="C23" s="12" t="n">
        <v>38965</v>
      </c>
      <c r="D23" s="13" t="n">
        <v>579263</v>
      </c>
      <c r="E23" s="13">
        <f>D23-D22</f>
        <v/>
      </c>
      <c r="F23" s="353" t="n">
        <v>1.4295233641</v>
      </c>
      <c r="G23" s="354">
        <f>(E23/1000)*1.4295233641</f>
        <v/>
      </c>
      <c r="I23" s="11" t="n"/>
    </row>
    <row r="24" spans="1:10">
      <c r="B24" s="6" t="s">
        <v>144</v>
      </c>
      <c r="C24" s="12" t="n">
        <v>38993</v>
      </c>
      <c r="D24" s="13" t="n">
        <v>660645</v>
      </c>
      <c r="E24" s="13">
        <f>D24-D23</f>
        <v/>
      </c>
      <c r="F24" s="353" t="n">
        <v>1.424126085998608</v>
      </c>
      <c r="G24" s="354">
        <f>E24/1000*F24</f>
        <v/>
      </c>
      <c r="I24" s="22" t="n"/>
    </row>
    <row r="25" spans="1:10">
      <c r="B25" s="6" t="s">
        <v>145</v>
      </c>
      <c r="C25" s="12" t="n">
        <v>39035</v>
      </c>
      <c r="D25" s="13" t="s">
        <v>157</v>
      </c>
      <c r="E25" s="13" t="s">
        <v>157</v>
      </c>
      <c r="F25" s="353" t="n">
        <v>1.4306</v>
      </c>
      <c r="G25" s="13" t="s">
        <v>157</v>
      </c>
      <c r="I25" s="18" t="n"/>
    </row>
    <row r="26" spans="1:10">
      <c r="B26" s="6" t="s">
        <v>146</v>
      </c>
      <c r="C26" s="12" t="n">
        <v>39056</v>
      </c>
      <c r="D26" s="13" t="s">
        <v>157</v>
      </c>
      <c r="E26" s="13" t="s">
        <v>157</v>
      </c>
      <c r="F26" s="353" t="n">
        <v>1.434</v>
      </c>
      <c r="G26" s="13" t="s">
        <v>157</v>
      </c>
    </row>
    <row r="27" spans="1:10">
      <c r="B27" s="6" t="s">
        <v>147</v>
      </c>
      <c r="C27" s="12" t="n">
        <v>38725</v>
      </c>
      <c r="D27" s="75" t="n">
        <v>1013695</v>
      </c>
      <c r="E27" s="13">
        <f>D27-D24</f>
        <v/>
      </c>
      <c r="F27" s="353" t="n">
        <v>1.459097532447671</v>
      </c>
      <c r="G27" s="354">
        <f>E27/1000*F27</f>
        <v/>
      </c>
    </row>
    <row r="28" spans="1:10">
      <c r="A28" s="287" t="s">
        <v>158</v>
      </c>
      <c r="B28" s="6" t="s">
        <v>133</v>
      </c>
      <c r="C28" s="12" t="n"/>
      <c r="D28" s="13" t="n"/>
      <c r="E28" s="13" t="n"/>
      <c r="F28" s="13" t="n"/>
      <c r="G28" s="354" t="n"/>
    </row>
    <row r="29" spans="1:10">
      <c r="B29" s="6" t="s">
        <v>134</v>
      </c>
      <c r="C29" s="12" t="n"/>
      <c r="D29" s="13" t="n"/>
      <c r="E29" s="13" t="n"/>
      <c r="F29" s="13" t="n"/>
      <c r="G29" s="354" t="n"/>
    </row>
    <row r="30" spans="1:10">
      <c r="B30" s="6" t="s">
        <v>136</v>
      </c>
      <c r="C30" s="12" t="n"/>
      <c r="D30" s="13" t="n">
        <v>187391</v>
      </c>
      <c r="E30" s="13" t="n"/>
      <c r="F30" s="13" t="n"/>
      <c r="G30" s="354" t="n"/>
    </row>
    <row r="31" spans="1:10">
      <c r="B31" s="6" t="s">
        <v>138</v>
      </c>
      <c r="C31" s="12" t="n">
        <v>38838</v>
      </c>
      <c r="D31" s="13" t="n">
        <v>231620</v>
      </c>
      <c r="E31" s="13">
        <f>D31-D30</f>
        <v/>
      </c>
      <c r="F31" s="353" t="n">
        <v>1.466827</v>
      </c>
      <c r="G31" s="354">
        <f>(E31/1000)*1.466827</f>
        <v/>
      </c>
    </row>
    <row r="32" spans="1:10">
      <c r="B32" s="6" t="s">
        <v>140</v>
      </c>
      <c r="C32" s="12" t="n">
        <v>38869</v>
      </c>
      <c r="D32" s="13" t="n">
        <v>261241</v>
      </c>
      <c r="E32" s="13">
        <f>D32-D31</f>
        <v/>
      </c>
      <c r="F32" s="353" t="n">
        <v>1.4599935478</v>
      </c>
      <c r="G32" s="354">
        <f>(E32/1000)*1.4599935478</f>
        <v/>
      </c>
    </row>
    <row r="33" spans="1:10">
      <c r="B33" s="6" t="s">
        <v>141</v>
      </c>
      <c r="C33" s="12" t="n">
        <v>38896</v>
      </c>
      <c r="D33" s="13" t="n">
        <v>261527</v>
      </c>
      <c r="E33" s="13">
        <f>D33-D32</f>
        <v/>
      </c>
      <c r="F33" s="353" t="n">
        <v>1.4480832864</v>
      </c>
      <c r="G33" s="354">
        <f>(E33/1000)*1.4480832864</f>
        <v/>
      </c>
    </row>
    <row r="34" spans="1:10">
      <c r="B34" s="6" t="s">
        <v>142</v>
      </c>
      <c r="C34" s="12" t="n">
        <v>38925</v>
      </c>
      <c r="D34" s="13" t="n">
        <v>261773</v>
      </c>
      <c r="E34" s="13" t="n">
        <v>246</v>
      </c>
      <c r="F34" s="353" t="n">
        <v>1.43966296</v>
      </c>
      <c r="G34" s="354">
        <f>(E34/1000)*1.43966296</f>
        <v/>
      </c>
      <c r="I34" s="18" t="n"/>
    </row>
    <row r="35" spans="1:10">
      <c r="B35" s="6" t="s">
        <v>143</v>
      </c>
      <c r="C35" s="12" t="n">
        <v>38965</v>
      </c>
      <c r="D35" s="13" t="n">
        <v>284721</v>
      </c>
      <c r="E35" s="13">
        <f>D35-D34</f>
        <v/>
      </c>
      <c r="F35" s="353" t="n">
        <v>1.4295233641</v>
      </c>
      <c r="G35" s="354">
        <f>(E35/1000)*1.4295233641</f>
        <v/>
      </c>
      <c r="I35" s="11" t="n"/>
    </row>
    <row r="36" spans="1:10">
      <c r="B36" s="6" t="s">
        <v>144</v>
      </c>
      <c r="C36" s="12" t="n">
        <v>38993</v>
      </c>
      <c r="D36" s="13" t="n">
        <v>349803</v>
      </c>
      <c r="E36" s="13">
        <f>D36-D35</f>
        <v/>
      </c>
      <c r="F36" s="353" t="n">
        <v>1.424126085998608</v>
      </c>
      <c r="G36" s="354">
        <f>E36/1000*F36</f>
        <v/>
      </c>
      <c r="I36" s="22" t="n"/>
    </row>
    <row r="37" spans="1:10">
      <c r="B37" s="6" t="s">
        <v>145</v>
      </c>
      <c r="C37" s="12" t="n">
        <v>39035</v>
      </c>
      <c r="D37" s="13" t="n">
        <v>439430</v>
      </c>
      <c r="E37" s="13">
        <f>D37-D36</f>
        <v/>
      </c>
      <c r="F37" s="353" t="n">
        <v>1.4306</v>
      </c>
      <c r="G37" s="354">
        <f>E37/1000*F37</f>
        <v/>
      </c>
      <c r="I37" s="17" t="n"/>
    </row>
    <row r="38" spans="1:10">
      <c r="B38" s="6" t="s">
        <v>146</v>
      </c>
      <c r="C38" s="12" t="n">
        <v>39056</v>
      </c>
      <c r="D38" s="13" t="n">
        <v>481480</v>
      </c>
      <c r="E38" s="13">
        <f>D38-D37</f>
        <v/>
      </c>
      <c r="F38" s="353" t="n">
        <v>1.434</v>
      </c>
      <c r="G38" s="354">
        <f>E38/1000*F38</f>
        <v/>
      </c>
      <c r="I38" s="18" t="n"/>
      <c r="J38" s="18" t="n"/>
    </row>
    <row r="39" spans="1:10">
      <c r="B39" s="6" t="s">
        <v>147</v>
      </c>
      <c r="C39" s="12" t="n">
        <v>38725</v>
      </c>
      <c r="D39" s="75" t="n">
        <v>506512</v>
      </c>
      <c r="E39" s="13">
        <f>D39-D38</f>
        <v/>
      </c>
      <c r="F39" s="353" t="n">
        <v>1.459097532447671</v>
      </c>
      <c r="G39" s="354">
        <f>E39/1000*F39</f>
        <v/>
      </c>
    </row>
    <row r="40" spans="1:10">
      <c r="A40" s="287" t="s">
        <v>159</v>
      </c>
      <c r="B40" s="6" t="s">
        <v>133</v>
      </c>
      <c r="C40" s="12" t="n"/>
      <c r="D40" s="13" t="n"/>
      <c r="E40" s="13" t="n"/>
      <c r="F40" s="13" t="n"/>
      <c r="G40" s="354" t="n"/>
    </row>
    <row r="41" spans="1:10">
      <c r="B41" s="6" t="s">
        <v>134</v>
      </c>
      <c r="C41" s="12" t="n"/>
      <c r="D41" s="13" t="n"/>
      <c r="E41" s="13" t="n"/>
      <c r="F41" s="13" t="n"/>
      <c r="G41" s="354" t="n"/>
    </row>
    <row r="42" spans="1:10">
      <c r="B42" s="6" t="s">
        <v>136</v>
      </c>
      <c r="C42" s="12" t="n"/>
      <c r="D42" s="13" t="n">
        <v>507695</v>
      </c>
      <c r="E42" s="13" t="n"/>
      <c r="F42" s="13" t="n"/>
      <c r="G42" s="354" t="n"/>
    </row>
    <row r="43" spans="1:10">
      <c r="B43" s="6" t="s">
        <v>138</v>
      </c>
      <c r="C43" s="12" t="n">
        <v>38838</v>
      </c>
      <c r="D43" s="13" t="n">
        <v>562524</v>
      </c>
      <c r="E43" s="13">
        <f>D43-D42</f>
        <v/>
      </c>
      <c r="F43" s="353" t="n">
        <v>1.466827</v>
      </c>
      <c r="G43" s="354">
        <f>(E43/1000)*1.466827</f>
        <v/>
      </c>
      <c r="I43" s="18" t="n"/>
    </row>
    <row r="44" spans="1:10">
      <c r="B44" s="6" t="s">
        <v>140</v>
      </c>
      <c r="C44" s="12" t="n">
        <v>38869</v>
      </c>
      <c r="D44" s="13" t="n">
        <v>622435</v>
      </c>
      <c r="E44" s="13">
        <f>D44-D43</f>
        <v/>
      </c>
      <c r="F44" s="353" t="n">
        <v>1.4599935478</v>
      </c>
      <c r="G44" s="354">
        <f>(E44/1000)*1.4599935478</f>
        <v/>
      </c>
    </row>
    <row r="45" spans="1:10">
      <c r="B45" s="6" t="s">
        <v>141</v>
      </c>
      <c r="C45" s="12" t="n">
        <v>38896</v>
      </c>
      <c r="D45" s="13" t="n">
        <v>622804</v>
      </c>
      <c r="E45" s="13">
        <f>D45-D44</f>
        <v/>
      </c>
      <c r="F45" s="353" t="n">
        <v>1.4480832864</v>
      </c>
      <c r="G45" s="354">
        <f>(E45/1000)*1.4480832864</f>
        <v/>
      </c>
    </row>
    <row r="46" spans="1:10">
      <c r="B46" s="6" t="s">
        <v>142</v>
      </c>
      <c r="C46" s="12" t="n">
        <v>38925</v>
      </c>
      <c r="D46" s="13" t="n">
        <v>623572</v>
      </c>
      <c r="E46" s="13" t="n">
        <v>768</v>
      </c>
      <c r="F46" s="353" t="n">
        <v>1.43966296</v>
      </c>
      <c r="G46" s="354">
        <f>(E46/1000)*1.43966296</f>
        <v/>
      </c>
    </row>
    <row r="47" spans="1:10">
      <c r="B47" s="6" t="s">
        <v>143</v>
      </c>
      <c r="C47" s="12" t="n">
        <v>38965</v>
      </c>
      <c r="D47" s="13" t="n">
        <v>641622</v>
      </c>
      <c r="E47" s="13">
        <f>D47-D46</f>
        <v/>
      </c>
      <c r="F47" s="353" t="n">
        <v>1.4295233641</v>
      </c>
      <c r="G47" s="354">
        <f>(E47/1000)*1.4295233641</f>
        <v/>
      </c>
    </row>
    <row r="48" spans="1:10">
      <c r="B48" s="6" t="s">
        <v>144</v>
      </c>
      <c r="C48" s="12" t="n">
        <v>38993</v>
      </c>
      <c r="D48" s="13" t="n">
        <v>690560</v>
      </c>
      <c r="E48" s="13">
        <f>D48-D47</f>
        <v/>
      </c>
      <c r="F48" s="353" t="n">
        <v>1.424126085998608</v>
      </c>
      <c r="G48" s="354">
        <f>E48/1000*F48</f>
        <v/>
      </c>
    </row>
    <row r="49" spans="1:10">
      <c r="B49" s="6" t="s">
        <v>145</v>
      </c>
      <c r="C49" s="12" t="n">
        <v>39035</v>
      </c>
      <c r="D49" s="13" t="n">
        <v>770511</v>
      </c>
      <c r="E49" s="13">
        <f>D49-D48</f>
        <v/>
      </c>
      <c r="F49" s="353" t="n">
        <v>1.4306</v>
      </c>
      <c r="G49" s="354">
        <f>E49/1000*F49</f>
        <v/>
      </c>
    </row>
    <row r="50" spans="1:10">
      <c r="B50" s="6" t="s">
        <v>146</v>
      </c>
      <c r="C50" s="12" t="n">
        <v>39056</v>
      </c>
      <c r="D50" s="13" t="n">
        <v>814266</v>
      </c>
      <c r="E50" s="13">
        <f>D50-D49</f>
        <v/>
      </c>
      <c r="F50" s="353" t="n">
        <v>1.434</v>
      </c>
      <c r="G50" s="354">
        <f>E50/1000*F50</f>
        <v/>
      </c>
    </row>
    <row r="51" spans="1:10">
      <c r="B51" s="6" t="s">
        <v>147</v>
      </c>
      <c r="C51" s="12" t="n">
        <v>38725</v>
      </c>
      <c r="D51" s="75" t="n">
        <v>844833</v>
      </c>
      <c r="E51" s="13">
        <f>D51-D50</f>
        <v/>
      </c>
      <c r="F51" s="353" t="n">
        <v>1.459097532447671</v>
      </c>
      <c r="G51" s="354">
        <f>E51/1000*F51</f>
        <v/>
      </c>
    </row>
    <row r="52" spans="1:10">
      <c r="A52" s="287" t="s">
        <v>160</v>
      </c>
      <c r="B52" s="6" t="s">
        <v>133</v>
      </c>
      <c r="C52" s="12" t="n"/>
      <c r="D52" s="13" t="n"/>
      <c r="E52" s="13" t="n"/>
      <c r="F52" s="13" t="n"/>
      <c r="G52" s="354" t="n"/>
    </row>
    <row r="53" spans="1:10">
      <c r="B53" s="6" t="s">
        <v>134</v>
      </c>
      <c r="C53" s="12" t="n"/>
      <c r="D53" s="13" t="n"/>
      <c r="E53" s="13" t="n"/>
      <c r="F53" s="13" t="n"/>
      <c r="G53" s="354" t="n"/>
    </row>
    <row r="54" spans="1:10">
      <c r="B54" s="6" t="s">
        <v>136</v>
      </c>
      <c r="C54" s="12" t="n"/>
      <c r="D54" s="13" t="n"/>
      <c r="E54" s="13" t="n"/>
      <c r="F54" s="13" t="n"/>
      <c r="G54" s="354" t="n"/>
    </row>
    <row r="55" spans="1:10">
      <c r="B55" s="6" t="s">
        <v>138</v>
      </c>
      <c r="C55" s="12" t="n">
        <v>38838</v>
      </c>
      <c r="D55" s="13" t="n"/>
      <c r="E55" s="13" t="n">
        <v>43768</v>
      </c>
      <c r="F55" s="353" t="n">
        <v>1.466827</v>
      </c>
      <c r="G55" s="354">
        <f>(E55/1000)*1.466827</f>
        <v/>
      </c>
    </row>
    <row r="56" spans="1:10">
      <c r="B56" s="6" t="s">
        <v>140</v>
      </c>
      <c r="C56" s="12" t="n">
        <v>38869</v>
      </c>
      <c r="D56" s="13" t="n"/>
      <c r="E56" s="13" t="n">
        <v>37168</v>
      </c>
      <c r="F56" s="353" t="n">
        <v>1.4599935478</v>
      </c>
      <c r="G56" s="354">
        <f>(E56/1000)*1.4599935478</f>
        <v/>
      </c>
    </row>
    <row r="57" spans="1:10">
      <c r="B57" s="6" t="s">
        <v>141</v>
      </c>
      <c r="C57" s="12" t="n">
        <v>38896</v>
      </c>
      <c r="D57" s="46" t="n"/>
      <c r="E57" s="13" t="n">
        <v>243</v>
      </c>
      <c r="F57" s="353" t="n">
        <v>1.4480832864</v>
      </c>
      <c r="G57" s="354">
        <f>(E57/1000)*1.4480832864</f>
        <v/>
      </c>
    </row>
    <row r="58" spans="1:10">
      <c r="B58" s="6" t="s">
        <v>142</v>
      </c>
      <c r="C58" s="12" t="n">
        <v>38925</v>
      </c>
      <c r="D58" s="13" t="n"/>
      <c r="E58" s="13" t="n">
        <v>5728</v>
      </c>
      <c r="F58" s="353" t="n">
        <v>1.43966296</v>
      </c>
      <c r="G58" s="354">
        <f>(E58/1000)*1.43966296</f>
        <v/>
      </c>
    </row>
    <row r="59" spans="1:10">
      <c r="B59" s="6" t="s">
        <v>143</v>
      </c>
      <c r="C59" s="12" t="n">
        <v>38965</v>
      </c>
      <c r="D59" s="13" t="n"/>
      <c r="E59" s="13" t="n">
        <v>66804</v>
      </c>
      <c r="F59" s="353" t="n">
        <v>1.4295233641</v>
      </c>
      <c r="G59" s="354">
        <f>(E59/1000)*1.4295233641</f>
        <v/>
      </c>
    </row>
    <row r="60" spans="1:10">
      <c r="B60" s="6" t="s">
        <v>144</v>
      </c>
      <c r="C60" s="12" t="n">
        <v>38993</v>
      </c>
      <c r="D60" s="13" t="n"/>
      <c r="E60" s="13">
        <f>2*(E36+E48+E108)/5</f>
        <v/>
      </c>
      <c r="F60" s="353" t="n">
        <v>1.424126085998608</v>
      </c>
      <c r="G60" s="354">
        <f>E60/1000*F60</f>
        <v/>
      </c>
    </row>
    <row r="61" spans="1:10">
      <c r="B61" s="6" t="s">
        <v>145</v>
      </c>
      <c r="C61" s="12" t="n">
        <v>39035</v>
      </c>
      <c r="D61" s="13" t="n"/>
      <c r="E61" s="13">
        <f>2*(E37+E49+E109)/5</f>
        <v/>
      </c>
      <c r="F61" s="353" t="n">
        <v>1.4306</v>
      </c>
      <c r="G61" s="354">
        <f>E61/1000*F61</f>
        <v/>
      </c>
    </row>
    <row r="62" spans="1:10">
      <c r="B62" s="6" t="s">
        <v>146</v>
      </c>
      <c r="C62" s="12" t="n">
        <v>39056</v>
      </c>
      <c r="D62" s="13" t="n"/>
      <c r="E62" s="13">
        <f>2*(E38+E50+E110)/5</f>
        <v/>
      </c>
      <c r="F62" s="353" t="n">
        <v>1.434</v>
      </c>
      <c r="G62" s="354">
        <f>E62/1000*F62</f>
        <v/>
      </c>
    </row>
    <row r="63" spans="1:10">
      <c r="B63" s="6" t="s">
        <v>147</v>
      </c>
      <c r="C63" s="12" t="n">
        <v>38725</v>
      </c>
      <c r="D63" s="13" t="n"/>
      <c r="E63" s="13">
        <f>2*(E39+E51+E111)/5</f>
        <v/>
      </c>
      <c r="F63" s="353" t="n">
        <v>1.459097532447671</v>
      </c>
      <c r="G63" s="354">
        <f>E63/1000*F63</f>
        <v/>
      </c>
    </row>
    <row r="64" spans="1:10">
      <c r="A64" s="287" t="s">
        <v>161</v>
      </c>
      <c r="B64" s="6" t="s">
        <v>133</v>
      </c>
      <c r="C64" s="12" t="n"/>
      <c r="D64" s="13" t="n"/>
      <c r="E64" s="13" t="n"/>
      <c r="F64" s="13" t="n"/>
      <c r="G64" s="354" t="n"/>
    </row>
    <row r="65" spans="1:10">
      <c r="B65" s="6" t="s">
        <v>134</v>
      </c>
      <c r="C65" s="12" t="n"/>
      <c r="D65" s="13" t="n"/>
      <c r="E65" s="13" t="n"/>
      <c r="F65" s="13" t="n"/>
      <c r="G65" s="354" t="n"/>
    </row>
    <row r="66" spans="1:10">
      <c r="B66" s="6" t="s">
        <v>136</v>
      </c>
      <c r="C66" s="12" t="n"/>
      <c r="D66" s="13" t="n"/>
      <c r="E66" s="13" t="n"/>
      <c r="F66" s="13" t="n"/>
      <c r="G66" s="354" t="n"/>
    </row>
    <row r="67" spans="1:10">
      <c r="B67" s="6" t="s">
        <v>138</v>
      </c>
      <c r="C67" s="12" t="n">
        <v>38838</v>
      </c>
      <c r="D67" s="13" t="n"/>
      <c r="E67" s="13" t="n">
        <v>43768</v>
      </c>
      <c r="F67" s="353" t="n">
        <v>1.466827</v>
      </c>
      <c r="G67" s="354">
        <f>(E67/1000)*1.466827</f>
        <v/>
      </c>
    </row>
    <row r="68" spans="1:10">
      <c r="B68" s="6" t="s">
        <v>140</v>
      </c>
      <c r="C68" s="12" t="n">
        <v>38869</v>
      </c>
      <c r="D68" s="13" t="n"/>
      <c r="E68" s="13" t="n">
        <v>37168</v>
      </c>
      <c r="F68" s="353" t="n">
        <v>1.4599935478</v>
      </c>
      <c r="G68" s="354">
        <f>(E68/1000)*1.4599935478</f>
        <v/>
      </c>
    </row>
    <row r="69" spans="1:10">
      <c r="B69" s="6" t="s">
        <v>141</v>
      </c>
      <c r="C69" s="12" t="n">
        <v>38896</v>
      </c>
      <c r="D69" s="13" t="n"/>
      <c r="E69" s="13" t="n">
        <v>243</v>
      </c>
      <c r="F69" s="353" t="n">
        <v>1.4480832864</v>
      </c>
      <c r="G69" s="354">
        <f>(E69/1000)*1.4480832864</f>
        <v/>
      </c>
    </row>
    <row r="70" spans="1:10">
      <c r="B70" s="6" t="s">
        <v>142</v>
      </c>
      <c r="C70" s="12" t="n">
        <v>38925</v>
      </c>
      <c r="D70" s="13" t="n"/>
      <c r="E70" s="13" t="n">
        <v>5728</v>
      </c>
      <c r="F70" s="353" t="n">
        <v>1.43966296</v>
      </c>
      <c r="G70" s="354">
        <f>(E70/1000)*1.43966296</f>
        <v/>
      </c>
    </row>
    <row r="71" spans="1:10">
      <c r="B71" s="6" t="s">
        <v>143</v>
      </c>
      <c r="C71" s="12" t="n">
        <v>38965</v>
      </c>
      <c r="D71" s="13" t="n"/>
      <c r="E71" s="13" t="n">
        <v>66804</v>
      </c>
      <c r="F71" s="353" t="n">
        <v>1.4295233641</v>
      </c>
      <c r="G71" s="354">
        <f>(E71/1000)*1.4295233641</f>
        <v/>
      </c>
    </row>
    <row r="72" spans="1:10">
      <c r="B72" s="6" t="s">
        <v>144</v>
      </c>
      <c r="C72" s="12" t="n">
        <v>38993</v>
      </c>
      <c r="D72" s="13" t="n"/>
      <c r="E72" s="13">
        <f>2*(E36+E48+E108)/5</f>
        <v/>
      </c>
      <c r="F72" s="353" t="n">
        <v>1.424126085998608</v>
      </c>
      <c r="G72" s="354">
        <f>E72/1000*F72</f>
        <v/>
      </c>
    </row>
    <row r="73" spans="1:10">
      <c r="B73" s="6" t="s">
        <v>145</v>
      </c>
      <c r="C73" s="12" t="n">
        <v>39035</v>
      </c>
      <c r="D73" s="13" t="n"/>
      <c r="E73" s="13">
        <f>2*(E37+E49+E109)/5</f>
        <v/>
      </c>
      <c r="F73" s="353" t="n">
        <v>1.4306</v>
      </c>
      <c r="G73" s="354">
        <f>E73/1000*F73</f>
        <v/>
      </c>
    </row>
    <row r="74" spans="1:10">
      <c r="B74" s="6" t="s">
        <v>146</v>
      </c>
      <c r="C74" s="12" t="n">
        <v>39056</v>
      </c>
      <c r="D74" s="13" t="n"/>
      <c r="E74" s="13">
        <f>2*(E38+E50+E110)/5</f>
        <v/>
      </c>
      <c r="F74" s="353" t="n">
        <v>1.434</v>
      </c>
      <c r="G74" s="354">
        <f>E74/1000*F74</f>
        <v/>
      </c>
    </row>
    <row r="75" spans="1:10">
      <c r="B75" s="6" t="s">
        <v>147</v>
      </c>
      <c r="C75" s="12" t="n">
        <v>38725</v>
      </c>
      <c r="D75" s="13" t="n"/>
      <c r="E75" s="13">
        <f>2*(E39+E51+E111)/5</f>
        <v/>
      </c>
      <c r="F75" s="353" t="n">
        <v>1.459097532447671</v>
      </c>
      <c r="G75" s="354">
        <f>E75/1000*F75</f>
        <v/>
      </c>
    </row>
    <row r="76" spans="1:10">
      <c r="A76" s="287" t="s">
        <v>162</v>
      </c>
      <c r="B76" s="6" t="s">
        <v>133</v>
      </c>
      <c r="C76" s="12" t="n"/>
      <c r="D76" s="13" t="n"/>
      <c r="E76" s="13" t="n"/>
      <c r="F76" s="13" t="n"/>
      <c r="G76" s="354" t="n"/>
    </row>
    <row r="77" spans="1:10">
      <c r="B77" s="6" t="s">
        <v>134</v>
      </c>
      <c r="C77" s="12" t="n"/>
      <c r="D77" s="13" t="n"/>
      <c r="E77" s="13" t="n"/>
      <c r="F77" s="13" t="n"/>
      <c r="G77" s="354" t="n"/>
    </row>
    <row r="78" spans="1:10">
      <c r="B78" s="6" t="s">
        <v>136</v>
      </c>
      <c r="C78" s="12" t="n"/>
      <c r="D78" s="13" t="n"/>
      <c r="E78" s="13" t="n"/>
      <c r="F78" s="13" t="n"/>
      <c r="G78" s="354" t="n"/>
    </row>
    <row r="79" spans="1:10">
      <c r="B79" s="6" t="s">
        <v>138</v>
      </c>
      <c r="C79" s="12" t="n">
        <v>38838</v>
      </c>
      <c r="D79" s="13" t="n"/>
      <c r="E79" s="13" t="n">
        <v>43768</v>
      </c>
      <c r="F79" s="353" t="n">
        <v>1.466827</v>
      </c>
      <c r="G79" s="354">
        <f>(E79/1000)*1.466827</f>
        <v/>
      </c>
    </row>
    <row r="80" spans="1:10">
      <c r="B80" s="6" t="s">
        <v>140</v>
      </c>
      <c r="C80" s="12" t="n">
        <v>38869</v>
      </c>
      <c r="D80" s="13" t="n"/>
      <c r="E80" s="13" t="n">
        <v>37168</v>
      </c>
      <c r="F80" s="353" t="n">
        <v>1.4599935478</v>
      </c>
      <c r="G80" s="354">
        <f>(E80/1000)*1.4599935478</f>
        <v/>
      </c>
    </row>
    <row r="81" spans="1:10">
      <c r="B81" s="6" t="s">
        <v>141</v>
      </c>
      <c r="C81" s="12" t="n">
        <v>38896</v>
      </c>
      <c r="D81" s="13" t="n"/>
      <c r="E81" s="13" t="n">
        <v>243</v>
      </c>
      <c r="F81" s="353" t="n">
        <v>1.4480832864</v>
      </c>
      <c r="G81" s="354">
        <f>(E81/1000)*1.4480832864</f>
        <v/>
      </c>
    </row>
    <row r="82" spans="1:10">
      <c r="B82" s="6" t="s">
        <v>142</v>
      </c>
      <c r="C82" s="12" t="n">
        <v>38925</v>
      </c>
      <c r="D82" s="13" t="n"/>
      <c r="E82" s="13" t="n">
        <v>5728</v>
      </c>
      <c r="F82" s="353" t="n">
        <v>1.43966296</v>
      </c>
      <c r="G82" s="354">
        <f>(E82/1000)*1.43966296</f>
        <v/>
      </c>
    </row>
    <row r="83" spans="1:10">
      <c r="B83" s="6" t="s">
        <v>143</v>
      </c>
      <c r="C83" s="12" t="n">
        <v>38965</v>
      </c>
      <c r="D83" s="13" t="n"/>
      <c r="E83" s="13" t="n">
        <v>66804</v>
      </c>
      <c r="F83" s="353" t="n">
        <v>1.4295233641</v>
      </c>
      <c r="G83" s="354">
        <f>(E83/1000)*1.4295233641</f>
        <v/>
      </c>
    </row>
    <row r="84" spans="1:10">
      <c r="B84" s="6" t="s">
        <v>144</v>
      </c>
      <c r="C84" s="12" t="n">
        <v>38993</v>
      </c>
      <c r="D84" s="13" t="n"/>
      <c r="E84" s="13">
        <f>(E36+E48+E108)/5</f>
        <v/>
      </c>
      <c r="F84" s="353" t="n">
        <v>1.424126085998608</v>
      </c>
      <c r="G84" s="354">
        <f>E84/1000*F84</f>
        <v/>
      </c>
    </row>
    <row r="85" spans="1:10">
      <c r="B85" s="6" t="s">
        <v>145</v>
      </c>
      <c r="C85" s="12" t="n">
        <v>39035</v>
      </c>
      <c r="D85" s="13" t="n"/>
      <c r="E85" s="13">
        <f>(E37+E49+E109)/5</f>
        <v/>
      </c>
      <c r="F85" s="353" t="n">
        <v>1.4306</v>
      </c>
      <c r="G85" s="354">
        <f>E85/1000*F85</f>
        <v/>
      </c>
    </row>
    <row r="86" spans="1:10">
      <c r="B86" s="6" t="s">
        <v>146</v>
      </c>
      <c r="C86" s="12" t="n">
        <v>39056</v>
      </c>
      <c r="D86" s="13" t="n"/>
      <c r="E86" s="13">
        <f>(E38+E50+E110)/5</f>
        <v/>
      </c>
      <c r="F86" s="353" t="n">
        <v>1.434</v>
      </c>
      <c r="G86" s="354">
        <f>E86/1000*F86</f>
        <v/>
      </c>
    </row>
    <row r="87" spans="1:10">
      <c r="B87" s="6" t="s">
        <v>147</v>
      </c>
      <c r="C87" s="12" t="n">
        <v>38725</v>
      </c>
      <c r="D87" s="13" t="n"/>
      <c r="E87" s="13">
        <f>(E39+E51+E111)/5</f>
        <v/>
      </c>
      <c r="F87" s="353" t="n">
        <v>1.459097532447671</v>
      </c>
      <c r="G87" s="354">
        <f>E87/1000*F87</f>
        <v/>
      </c>
    </row>
    <row r="88" spans="1:10">
      <c r="A88" s="287" t="s">
        <v>163</v>
      </c>
      <c r="B88" s="6" t="s">
        <v>133</v>
      </c>
      <c r="C88" s="12" t="n"/>
      <c r="D88" s="13" t="n"/>
      <c r="E88" s="13" t="n"/>
      <c r="F88" s="13" t="n"/>
      <c r="G88" s="354" t="n"/>
    </row>
    <row r="89" spans="1:10">
      <c r="B89" s="6" t="s">
        <v>134</v>
      </c>
      <c r="C89" s="12" t="n"/>
      <c r="D89" s="13" t="n"/>
      <c r="E89" s="13" t="n"/>
      <c r="F89" s="13" t="n"/>
      <c r="G89" s="354" t="n"/>
    </row>
    <row r="90" spans="1:10">
      <c r="B90" s="6" t="s">
        <v>136</v>
      </c>
      <c r="C90" s="12" t="n"/>
      <c r="D90" s="4" t="n"/>
      <c r="E90" s="4" t="n"/>
      <c r="F90" s="4" t="n"/>
      <c r="G90" s="354" t="n"/>
    </row>
    <row r="91" spans="1:10">
      <c r="B91" s="6" t="s">
        <v>138</v>
      </c>
      <c r="C91" s="12" t="n">
        <v>38838</v>
      </c>
      <c r="D91" s="13" t="n"/>
      <c r="E91" s="13" t="n">
        <v>43768</v>
      </c>
      <c r="F91" s="353" t="n">
        <v>1.466827</v>
      </c>
      <c r="G91" s="354">
        <f>(E91/1000)*1.466827</f>
        <v/>
      </c>
    </row>
    <row r="92" spans="1:10">
      <c r="B92" s="6" t="s">
        <v>140</v>
      </c>
      <c r="C92" s="12" t="n">
        <v>38869</v>
      </c>
      <c r="D92" s="13" t="n"/>
      <c r="E92" s="13" t="n">
        <v>37168</v>
      </c>
      <c r="F92" s="353" t="n">
        <v>1.4599935478</v>
      </c>
      <c r="G92" s="354">
        <f>(E92/1000)*1.4599935478</f>
        <v/>
      </c>
    </row>
    <row r="93" spans="1:10">
      <c r="B93" s="6" t="s">
        <v>141</v>
      </c>
      <c r="C93" s="12" t="n">
        <v>38896</v>
      </c>
      <c r="D93" s="13" t="n"/>
      <c r="E93" s="13" t="n">
        <v>243</v>
      </c>
      <c r="F93" s="353" t="n">
        <v>1.4480832864</v>
      </c>
      <c r="G93" s="354">
        <f>(E93/1000)*1.4480832864</f>
        <v/>
      </c>
    </row>
    <row r="94" spans="1:10">
      <c r="B94" s="6" t="s">
        <v>142</v>
      </c>
      <c r="C94" s="12" t="n">
        <v>38925</v>
      </c>
      <c r="D94" s="13" t="n"/>
      <c r="E94" s="13" t="n">
        <v>5728</v>
      </c>
      <c r="F94" s="353" t="n">
        <v>1.43966296</v>
      </c>
      <c r="G94" s="354">
        <f>(E94/1000)*1.43966296</f>
        <v/>
      </c>
    </row>
    <row r="95" spans="1:10">
      <c r="B95" s="6" t="s">
        <v>143</v>
      </c>
      <c r="C95" s="12" t="n">
        <v>38965</v>
      </c>
      <c r="D95" s="13" t="n"/>
      <c r="E95" s="13" t="n">
        <v>66804</v>
      </c>
      <c r="F95" s="353" t="n">
        <v>1.4295233641</v>
      </c>
      <c r="G95" s="354">
        <f>(E95/1000)*1.4295233641</f>
        <v/>
      </c>
    </row>
    <row r="96" spans="1:10">
      <c r="B96" s="6" t="s">
        <v>144</v>
      </c>
      <c r="C96" s="12" t="n">
        <v>38993</v>
      </c>
      <c r="D96" s="13" t="n"/>
      <c r="E96" s="13">
        <f>2*(E36+E48+E108)/5</f>
        <v/>
      </c>
      <c r="F96" s="353" t="n">
        <v>1.424126085998608</v>
      </c>
      <c r="G96" s="354">
        <f>E96/1000*F96</f>
        <v/>
      </c>
    </row>
    <row r="97" spans="1:10">
      <c r="B97" s="6" t="s">
        <v>145</v>
      </c>
      <c r="C97" s="12" t="n">
        <v>39035</v>
      </c>
      <c r="D97" s="13" t="n"/>
      <c r="E97" s="13">
        <f>2*(E37+E49+E109)/5</f>
        <v/>
      </c>
      <c r="F97" s="353" t="n">
        <v>1.4306</v>
      </c>
      <c r="G97" s="354">
        <f>E97/1000*F97</f>
        <v/>
      </c>
    </row>
    <row r="98" spans="1:10">
      <c r="B98" s="6" t="s">
        <v>146</v>
      </c>
      <c r="C98" s="12" t="n">
        <v>39056</v>
      </c>
      <c r="D98" s="13" t="n"/>
      <c r="E98" s="13">
        <f>2*(E38+E50+E110)/5</f>
        <v/>
      </c>
      <c r="F98" s="353" t="n">
        <v>1.434</v>
      </c>
      <c r="G98" s="354">
        <f>E98/1000*F98</f>
        <v/>
      </c>
    </row>
    <row r="99" spans="1:10">
      <c r="B99" s="6" t="s">
        <v>147</v>
      </c>
      <c r="C99" s="12" t="n">
        <v>38725</v>
      </c>
      <c r="D99" s="13" t="n"/>
      <c r="E99" s="13">
        <f>2*(E39+E51+E111)/5</f>
        <v/>
      </c>
      <c r="F99" s="353" t="n">
        <v>1.459097532447671</v>
      </c>
      <c r="G99" s="354">
        <f>E99/1000*F99</f>
        <v/>
      </c>
    </row>
    <row r="100" spans="1:10">
      <c r="A100" s="287" t="s">
        <v>164</v>
      </c>
      <c r="B100" s="6" t="s">
        <v>133</v>
      </c>
      <c r="C100" s="12" t="n"/>
      <c r="D100" s="13" t="n"/>
      <c r="E100" s="13" t="n"/>
      <c r="F100" s="13" t="n"/>
      <c r="G100" s="354" t="n"/>
    </row>
    <row r="101" spans="1:10">
      <c r="B101" s="6" t="s">
        <v>134</v>
      </c>
      <c r="C101" s="12" t="n"/>
      <c r="D101" s="13" t="n"/>
      <c r="E101" s="13" t="n"/>
      <c r="F101" s="13" t="n"/>
      <c r="G101" s="354" t="n"/>
    </row>
    <row r="102" spans="1:10">
      <c r="B102" s="6" t="s">
        <v>136</v>
      </c>
      <c r="C102" s="12" t="n"/>
      <c r="D102" s="13" t="n">
        <v>112633</v>
      </c>
      <c r="E102" s="13" t="n"/>
      <c r="F102" s="13" t="n"/>
      <c r="G102" s="354" t="n"/>
    </row>
    <row r="103" spans="1:10">
      <c r="B103" s="6" t="s">
        <v>138</v>
      </c>
      <c r="C103" s="12" t="n">
        <v>38838</v>
      </c>
      <c r="D103" s="13" t="n">
        <v>144880</v>
      </c>
      <c r="E103" s="13">
        <f>D103-D102</f>
        <v/>
      </c>
      <c r="F103" s="353" t="n">
        <v>1.466827</v>
      </c>
      <c r="G103" s="354">
        <f>(E103/1000)*1.466827</f>
        <v/>
      </c>
    </row>
    <row r="104" spans="1:10">
      <c r="B104" s="6" t="s">
        <v>140</v>
      </c>
      <c r="C104" s="12" t="n">
        <v>38869</v>
      </c>
      <c r="D104" s="13" t="n">
        <v>166851</v>
      </c>
      <c r="E104" s="13">
        <f>D104-D103</f>
        <v/>
      </c>
      <c r="F104" s="353" t="n">
        <v>1.4599935478</v>
      </c>
      <c r="G104" s="354">
        <f>(E104/1000)*1.4599935478</f>
        <v/>
      </c>
    </row>
    <row r="105" spans="1:10">
      <c r="B105" s="6" t="s">
        <v>141</v>
      </c>
      <c r="C105" s="12" t="n">
        <v>38896</v>
      </c>
      <c r="D105" s="13" t="n">
        <v>166924</v>
      </c>
      <c r="E105" s="13">
        <f>D105-D104</f>
        <v/>
      </c>
      <c r="F105" s="353" t="n">
        <v>1.4480832864</v>
      </c>
      <c r="G105" s="354">
        <f>(E105/1000)*1.4480832864</f>
        <v/>
      </c>
    </row>
    <row r="106" spans="1:10">
      <c r="B106" s="6" t="s">
        <v>142</v>
      </c>
      <c r="C106" s="12" t="n">
        <v>38925</v>
      </c>
      <c r="D106" s="20" t="n">
        <v>16170</v>
      </c>
      <c r="E106" s="13" t="n">
        <v>16170</v>
      </c>
      <c r="F106" s="353" t="n">
        <v>1.43966296</v>
      </c>
      <c r="G106" s="354">
        <f>(E106/1000)*1.43966296</f>
        <v/>
      </c>
    </row>
    <row r="107" spans="1:10">
      <c r="B107" s="6" t="s">
        <v>143</v>
      </c>
      <c r="C107" s="12" t="n">
        <v>38965</v>
      </c>
      <c r="D107" s="13" t="n">
        <v>175583</v>
      </c>
      <c r="E107" s="13">
        <f>D107-D106</f>
        <v/>
      </c>
      <c r="F107" s="353" t="n">
        <v>1.4295233641</v>
      </c>
      <c r="G107" s="354">
        <f>(E107/1000)*1.4295233641</f>
        <v/>
      </c>
    </row>
    <row r="108" spans="1:10">
      <c r="B108" s="6" t="s">
        <v>144</v>
      </c>
      <c r="C108" s="12" t="n">
        <v>38993</v>
      </c>
      <c r="D108" s="13" t="n">
        <v>201419</v>
      </c>
      <c r="E108" s="13">
        <f>D108-D107</f>
        <v/>
      </c>
      <c r="F108" s="353" t="n">
        <v>1.424126085998608</v>
      </c>
      <c r="G108" s="354">
        <f>(E108/1000)*1.4295233641</f>
        <v/>
      </c>
    </row>
    <row r="109" spans="1:10">
      <c r="B109" s="6" t="s">
        <v>145</v>
      </c>
      <c r="C109" s="12" t="n">
        <v>39035</v>
      </c>
      <c r="D109" s="13" t="n">
        <v>239767</v>
      </c>
      <c r="E109" s="13">
        <f>D109-D108</f>
        <v/>
      </c>
      <c r="F109" s="353" t="n">
        <v>1.4306</v>
      </c>
      <c r="G109" s="354">
        <f>(E109/1000)*1.4295233641</f>
        <v/>
      </c>
    </row>
    <row r="110" spans="1:10">
      <c r="B110" s="6" t="s">
        <v>146</v>
      </c>
      <c r="C110" s="12" t="n">
        <v>39056</v>
      </c>
      <c r="D110" s="13" t="n">
        <v>255060</v>
      </c>
      <c r="E110" s="13">
        <f>D110-D109</f>
        <v/>
      </c>
      <c r="F110" s="353" t="n">
        <v>1.434</v>
      </c>
      <c r="G110" s="354">
        <f>(E110/1000)*1.4295233641</f>
        <v/>
      </c>
    </row>
    <row r="111" spans="1:10">
      <c r="B111" s="6" t="s">
        <v>147</v>
      </c>
      <c r="C111" s="12" t="n">
        <v>38725</v>
      </c>
      <c r="D111" s="75" t="n">
        <v>265481</v>
      </c>
      <c r="E111" s="13">
        <f>D111-D110</f>
        <v/>
      </c>
      <c r="F111" s="353" t="n">
        <v>1.459097532447671</v>
      </c>
      <c r="G111" s="354">
        <f>(E111/1000)*1.4295233641</f>
        <v/>
      </c>
    </row>
    <row r="112" spans="1:10">
      <c r="A112" s="287" t="s">
        <v>165</v>
      </c>
      <c r="B112" s="6" t="s">
        <v>133</v>
      </c>
      <c r="C112" s="12" t="n"/>
      <c r="D112" s="13" t="n"/>
      <c r="E112" s="13" t="n"/>
      <c r="F112" s="13" t="n"/>
      <c r="G112" s="354" t="n"/>
    </row>
    <row r="113" spans="1:10">
      <c r="B113" s="6" t="s">
        <v>134</v>
      </c>
      <c r="C113" s="12" t="n"/>
      <c r="D113" s="13" t="n"/>
      <c r="E113" s="13" t="n"/>
      <c r="F113" s="13" t="n"/>
      <c r="G113" s="354" t="n"/>
    </row>
    <row r="114" spans="1:10">
      <c r="B114" s="6" t="s">
        <v>136</v>
      </c>
      <c r="C114" s="12" t="n"/>
      <c r="D114" s="13" t="n"/>
      <c r="E114" s="13" t="n"/>
      <c r="F114" s="13" t="n"/>
      <c r="G114" s="354" t="n"/>
    </row>
    <row r="115" spans="1:10">
      <c r="B115" s="6" t="s">
        <v>138</v>
      </c>
      <c r="C115" s="12" t="n">
        <v>38838</v>
      </c>
      <c r="D115" s="13" t="n"/>
      <c r="E115" s="13" t="n">
        <v>43768</v>
      </c>
      <c r="F115" s="353" t="n">
        <v>1.466827</v>
      </c>
      <c r="G115" s="354">
        <f>(E115/1000)*1.466827</f>
        <v/>
      </c>
    </row>
    <row r="116" spans="1:10">
      <c r="B116" s="6" t="s">
        <v>140</v>
      </c>
      <c r="C116" s="12" t="n">
        <v>38869</v>
      </c>
      <c r="D116" s="13" t="n"/>
      <c r="E116" s="13" t="n">
        <v>37168</v>
      </c>
      <c r="F116" s="353" t="n">
        <v>1.4599935478</v>
      </c>
      <c r="G116" s="354">
        <f>(E116/1000)*1.4599935478</f>
        <v/>
      </c>
    </row>
    <row r="117" spans="1:10">
      <c r="B117" s="6" t="s">
        <v>141</v>
      </c>
      <c r="C117" s="12" t="n">
        <v>38896</v>
      </c>
      <c r="D117" s="13" t="n"/>
      <c r="E117" s="13" t="n">
        <v>243</v>
      </c>
      <c r="F117" s="353" t="n">
        <v>1.4480832864</v>
      </c>
      <c r="G117" s="354">
        <f>(E117/1000)*1.4480832864</f>
        <v/>
      </c>
    </row>
    <row r="118" spans="1:10">
      <c r="B118" s="6" t="s">
        <v>142</v>
      </c>
      <c r="C118" s="12" t="n">
        <v>38925</v>
      </c>
      <c r="D118" s="13" t="n"/>
      <c r="E118" s="13" t="n">
        <v>5728</v>
      </c>
      <c r="F118" s="353" t="n">
        <v>1.43966296</v>
      </c>
      <c r="G118" s="354">
        <f>(E118/1000)*1.43966296</f>
        <v/>
      </c>
    </row>
    <row r="119" spans="1:10">
      <c r="B119" s="6" t="s">
        <v>143</v>
      </c>
      <c r="C119" s="12" t="n">
        <v>38965</v>
      </c>
      <c r="D119" s="13" t="n"/>
      <c r="E119" s="13" t="n">
        <v>66804</v>
      </c>
      <c r="F119" s="353" t="n">
        <v>1.4295233641</v>
      </c>
      <c r="G119" s="354">
        <f>(E119/1000)*1.4295233641</f>
        <v/>
      </c>
    </row>
    <row r="120" spans="1:10">
      <c r="B120" s="6" t="s">
        <v>144</v>
      </c>
      <c r="C120" s="12" t="n">
        <v>38993</v>
      </c>
      <c r="D120" s="13" t="n"/>
      <c r="E120" s="13">
        <f>2*(E36+E48+E108)/5</f>
        <v/>
      </c>
      <c r="F120" s="353" t="n">
        <v>1.424126085998608</v>
      </c>
      <c r="G120" s="354">
        <f>E120/1000*F120</f>
        <v/>
      </c>
    </row>
    <row r="121" spans="1:10">
      <c r="B121" s="6" t="s">
        <v>145</v>
      </c>
      <c r="C121" s="12" t="n">
        <v>39035</v>
      </c>
      <c r="D121" s="13" t="n"/>
      <c r="E121" s="13">
        <f>2*(E37+E49+E109)/5</f>
        <v/>
      </c>
      <c r="F121" s="353" t="n">
        <v>1.4306</v>
      </c>
      <c r="G121" s="354">
        <f>E121/1000*F121</f>
        <v/>
      </c>
    </row>
    <row r="122" spans="1:10">
      <c r="B122" s="6" t="s">
        <v>146</v>
      </c>
      <c r="C122" s="12" t="n">
        <v>39056</v>
      </c>
      <c r="D122" s="13" t="n"/>
      <c r="E122" s="13">
        <f>2*(E38+E50+E110)/5</f>
        <v/>
      </c>
      <c r="F122" s="353" t="n">
        <v>1.434</v>
      </c>
      <c r="G122" s="354">
        <f>E122/1000*F122</f>
        <v/>
      </c>
    </row>
    <row r="123" spans="1:10">
      <c r="B123" s="6" t="s">
        <v>147</v>
      </c>
      <c r="C123" s="12" t="n">
        <v>38725</v>
      </c>
      <c r="D123" s="13" t="n"/>
      <c r="E123" s="13">
        <f>2*(E39+E51+E111)/5</f>
        <v/>
      </c>
      <c r="F123" s="353" t="n">
        <v>1.459097532447671</v>
      </c>
      <c r="G123" s="354">
        <f>E123/1000*F123</f>
        <v/>
      </c>
    </row>
    <row r="124" spans="1:10">
      <c r="A124" s="287" t="s">
        <v>166</v>
      </c>
      <c r="B124" s="6" t="s">
        <v>133</v>
      </c>
      <c r="C124" s="12" t="n"/>
      <c r="D124" s="13" t="n"/>
      <c r="E124" s="13" t="n"/>
      <c r="F124" s="13" t="n"/>
      <c r="G124" s="354" t="n"/>
    </row>
    <row r="125" spans="1:10">
      <c r="B125" s="6" t="s">
        <v>134</v>
      </c>
      <c r="C125" s="12" t="n"/>
      <c r="D125" s="13" t="n"/>
      <c r="E125" s="13" t="n"/>
      <c r="F125" s="13" t="n"/>
      <c r="G125" s="354" t="n"/>
    </row>
    <row r="126" spans="1:10">
      <c r="B126" s="6" t="s">
        <v>136</v>
      </c>
      <c r="C126" s="12" t="n"/>
      <c r="D126" s="13" t="n"/>
      <c r="E126" s="13" t="n"/>
      <c r="F126" s="13" t="n"/>
      <c r="G126" s="354" t="n"/>
    </row>
    <row r="127" spans="1:10">
      <c r="B127" s="6" t="s">
        <v>138</v>
      </c>
      <c r="C127" s="12" t="n">
        <v>38838</v>
      </c>
      <c r="D127" s="13" t="n"/>
      <c r="E127" s="13" t="n">
        <v>43768</v>
      </c>
      <c r="F127" s="353" t="n">
        <v>1.466827</v>
      </c>
      <c r="G127" s="354">
        <f>(E127/1000)*1.466827</f>
        <v/>
      </c>
    </row>
    <row r="128" spans="1:10">
      <c r="B128" s="6" t="s">
        <v>140</v>
      </c>
      <c r="C128" s="12" t="n">
        <v>38869</v>
      </c>
      <c r="D128" s="13" t="n"/>
      <c r="E128" s="13" t="n">
        <v>37168</v>
      </c>
      <c r="F128" s="353" t="n">
        <v>1.4599935478</v>
      </c>
      <c r="G128" s="354">
        <f>(E128/1000)*1.4599935478</f>
        <v/>
      </c>
    </row>
    <row r="129" spans="1:10">
      <c r="B129" s="6" t="s">
        <v>141</v>
      </c>
      <c r="C129" s="12" t="n">
        <v>38896</v>
      </c>
      <c r="D129" s="13" t="n"/>
      <c r="E129" s="13" t="n">
        <v>243</v>
      </c>
      <c r="F129" s="353" t="n">
        <v>1.4480832864</v>
      </c>
      <c r="G129" s="354">
        <f>(E129/1000)*1.4480832864</f>
        <v/>
      </c>
    </row>
    <row r="130" spans="1:10">
      <c r="B130" s="6" t="s">
        <v>142</v>
      </c>
      <c r="C130" s="12" t="n">
        <v>38925</v>
      </c>
      <c r="D130" s="13" t="n"/>
      <c r="E130" s="13" t="n">
        <v>5728</v>
      </c>
      <c r="F130" s="353" t="n">
        <v>1.43966296</v>
      </c>
      <c r="G130" s="354">
        <f>(E130/1000)*1.43966296</f>
        <v/>
      </c>
    </row>
    <row r="131" spans="1:10">
      <c r="B131" s="6" t="s">
        <v>143</v>
      </c>
      <c r="C131" s="12" t="n">
        <v>38965</v>
      </c>
      <c r="D131" s="13" t="n"/>
      <c r="E131" s="13" t="n">
        <v>66804</v>
      </c>
      <c r="F131" s="353" t="n">
        <v>1.4295233641</v>
      </c>
      <c r="G131" s="354">
        <f>(E131/1000)*1.4295233641</f>
        <v/>
      </c>
    </row>
    <row r="132" spans="1:10">
      <c r="B132" s="6" t="s">
        <v>144</v>
      </c>
      <c r="C132" s="12" t="n">
        <v>38993</v>
      </c>
      <c r="D132" s="13" t="n"/>
      <c r="E132" s="13">
        <f>2*(E36+E48+E108)/5</f>
        <v/>
      </c>
      <c r="F132" s="353" t="n">
        <v>1.424126085998608</v>
      </c>
      <c r="G132" s="354">
        <f>E132/1000*F132</f>
        <v/>
      </c>
    </row>
    <row r="133" spans="1:10">
      <c r="B133" s="6" t="s">
        <v>145</v>
      </c>
      <c r="C133" s="12" t="n">
        <v>39035</v>
      </c>
      <c r="D133" s="13" t="n"/>
      <c r="E133" s="13">
        <f>2*(E37+E49+E109)/5</f>
        <v/>
      </c>
      <c r="F133" s="353" t="n">
        <v>1.4306</v>
      </c>
      <c r="G133" s="354">
        <f>E133/1000*F133</f>
        <v/>
      </c>
    </row>
    <row r="134" spans="1:10">
      <c r="B134" s="6" t="s">
        <v>146</v>
      </c>
      <c r="C134" s="12" t="n">
        <v>39056</v>
      </c>
      <c r="D134" s="13" t="n"/>
      <c r="E134" s="13">
        <f>2*(E38+E50+E110)/5</f>
        <v/>
      </c>
      <c r="F134" s="353" t="n">
        <v>1.434</v>
      </c>
      <c r="G134" s="354">
        <f>E134/1000*F134</f>
        <v/>
      </c>
    </row>
    <row r="135" spans="1:10">
      <c r="B135" s="6" t="s">
        <v>147</v>
      </c>
      <c r="C135" s="12" t="n">
        <v>38725</v>
      </c>
      <c r="D135" s="13" t="n"/>
      <c r="E135" s="13">
        <f>2*(E39+E51+E111)/5</f>
        <v/>
      </c>
      <c r="F135" s="353" t="n">
        <v>1.459097532447671</v>
      </c>
      <c r="G135" s="354">
        <f>E135/1000*F135</f>
        <v/>
      </c>
    </row>
    <row r="136" spans="1:10">
      <c r="A136" s="45" t="n"/>
      <c r="B136" s="70" t="n"/>
      <c r="C136" s="70" t="n"/>
      <c r="D136" s="70" t="n"/>
      <c r="E136" s="70" t="n"/>
      <c r="F136" s="70" t="n"/>
      <c r="G136" s="361" t="n"/>
      <c r="H136" s="351" t="n"/>
    </row>
    <row r="137" spans="1:10">
      <c r="A137" s="8" t="s">
        <v>34</v>
      </c>
      <c r="B137" s="67" t="n"/>
      <c r="C137" s="70" t="n"/>
      <c r="D137" s="70" t="n"/>
      <c r="E137" s="70" t="n"/>
      <c r="F137" s="70" t="n"/>
      <c r="G137" s="361" t="n"/>
    </row>
    <row r="138" spans="1:10">
      <c r="A138" s="8" t="s">
        <v>99</v>
      </c>
      <c r="B138" s="67" t="n"/>
      <c r="C138" s="70" t="n"/>
      <c r="D138" s="70" t="n"/>
      <c r="E138" s="70" t="n"/>
      <c r="F138" s="70" t="n"/>
      <c r="G138" s="70" t="n"/>
    </row>
    <row r="139" spans="1:10">
      <c r="A139" s="45" t="s">
        <v>167</v>
      </c>
      <c r="B139" s="67" t="n"/>
      <c r="C139" s="70" t="n"/>
      <c r="D139" s="70" t="n"/>
      <c r="E139" s="70" t="n"/>
      <c r="F139" s="70" t="n"/>
      <c r="G139" s="70" t="n"/>
    </row>
    <row r="140" spans="1:10">
      <c r="A140" s="45" t="s">
        <v>38</v>
      </c>
      <c r="B140" s="67" t="n"/>
      <c r="C140" s="70" t="n"/>
      <c r="D140" s="70" t="n"/>
      <c r="E140" s="70" t="n"/>
      <c r="F140" s="70" t="n"/>
      <c r="G140" s="70" t="n"/>
    </row>
    <row r="141" spans="1:10">
      <c r="A141" s="45" t="s">
        <v>39</v>
      </c>
      <c r="B141" s="67" t="n"/>
      <c r="C141" s="70" t="n"/>
      <c r="D141" s="70" t="n"/>
      <c r="E141" s="70" t="n"/>
      <c r="F141" s="70" t="n"/>
      <c r="G141" s="70" t="n"/>
    </row>
    <row r="142" spans="1:10">
      <c r="A142" s="45" t="n"/>
      <c r="B142" s="67" t="n"/>
      <c r="C142" s="70" t="n"/>
      <c r="D142" s="70" t="n"/>
      <c r="E142" s="70" t="n"/>
      <c r="F142" s="70" t="n"/>
      <c r="G142" s="70" t="n"/>
    </row>
    <row r="143" spans="1:10">
      <c r="A143" s="45" t="n"/>
      <c r="B143" s="67" t="n"/>
      <c r="C143" s="70" t="n"/>
      <c r="D143" s="70" t="n"/>
      <c r="E143" s="70" t="n"/>
      <c r="F143" s="70" t="n"/>
      <c r="G143" s="70" t="n"/>
    </row>
    <row r="144" spans="1:10">
      <c r="A144" s="45" t="n"/>
      <c r="B144" s="67" t="n"/>
    </row>
    <row r="145" spans="1:10">
      <c r="A145" s="45" t="n"/>
      <c r="B145" s="67" t="n"/>
    </row>
    <row r="146" spans="1:10">
      <c r="A146" s="45" t="n"/>
      <c r="B146" s="67" t="n"/>
    </row>
    <row r="147" spans="1:10">
      <c r="A147" s="45" t="n"/>
      <c r="B147" s="67" t="n"/>
    </row>
    <row r="148" spans="1:10">
      <c r="A148" s="45" t="n"/>
      <c r="B148" s="67" t="n"/>
    </row>
    <row r="149" spans="1:10">
      <c r="A149" s="45" t="n"/>
      <c r="B149" s="67" t="n"/>
    </row>
    <row r="150" spans="1:10">
      <c r="A150" s="45" t="n"/>
      <c r="B150" s="67" t="n"/>
    </row>
    <row r="151" spans="1:10">
      <c r="A151" s="45" t="n"/>
      <c r="B151" s="67" t="n"/>
    </row>
    <row r="152" spans="1:10">
      <c r="A152" s="45" t="n"/>
      <c r="B152" s="67" t="n"/>
    </row>
    <row r="153" spans="1:10">
      <c r="A153" s="45" t="n"/>
      <c r="B153" s="67" t="n"/>
    </row>
    <row r="154" spans="1:10">
      <c r="A154" s="45" t="n"/>
      <c r="B154" s="67" t="n"/>
    </row>
    <row r="155" spans="1:10">
      <c r="A155" s="45" t="n"/>
      <c r="B155" s="67" t="n"/>
    </row>
    <row r="156" spans="1:10">
      <c r="A156" s="45" t="n"/>
      <c r="B156" s="67" t="n"/>
    </row>
    <row r="157" spans="1:10">
      <c r="A157" s="45" t="n"/>
      <c r="B157" s="67" t="n"/>
    </row>
    <row r="158" spans="1:10">
      <c r="A158" s="45" t="n"/>
      <c r="B158" s="67" t="n"/>
    </row>
    <row r="159" spans="1:10">
      <c r="A159" s="45" t="n"/>
      <c r="B159" s="67" t="n"/>
    </row>
    <row r="160" spans="1:10">
      <c r="A160" s="45" t="n"/>
      <c r="B160" s="67" t="n"/>
    </row>
    <row r="161" spans="1:10">
      <c r="A161" s="45" t="n"/>
      <c r="B161" s="67" t="n"/>
    </row>
    <row r="162" spans="1:10">
      <c r="A162" s="45" t="n"/>
      <c r="B162" s="67" t="n"/>
    </row>
    <row r="163" spans="1:10">
      <c r="A163" s="45" t="n"/>
      <c r="B163" s="67" t="n"/>
    </row>
    <row r="164" spans="1:10">
      <c r="A164" s="45" t="n"/>
      <c r="B164" s="67" t="n"/>
    </row>
    <row r="165" spans="1:10">
      <c r="A165" s="45" t="n"/>
      <c r="B165" s="67" t="n"/>
    </row>
    <row r="166" spans="1:10">
      <c r="A166" s="45" t="n"/>
      <c r="B166" s="67" t="n"/>
    </row>
    <row r="167" spans="1:10">
      <c r="A167" s="45" t="n"/>
      <c r="B167" s="67" t="n"/>
    </row>
    <row r="168" spans="1:10">
      <c r="A168" s="45" t="n"/>
      <c r="B168" s="67" t="n"/>
    </row>
    <row r="169" spans="1:10">
      <c r="A169" s="45" t="n"/>
      <c r="B169" s="67" t="n"/>
    </row>
    <row r="170" spans="1:10">
      <c r="A170" s="45" t="n"/>
      <c r="B170" s="67" t="n"/>
    </row>
    <row r="171" spans="1:10">
      <c r="A171" s="45" t="n"/>
      <c r="B171" s="67" t="n"/>
    </row>
    <row r="172" spans="1:10">
      <c r="A172" s="45" t="n"/>
      <c r="B172" s="67" t="n"/>
    </row>
    <row r="173" spans="1:10">
      <c r="A173" s="45" t="n"/>
      <c r="B173" s="67" t="n"/>
    </row>
    <row r="174" spans="1:10">
      <c r="A174" s="45" t="n"/>
      <c r="B174" s="67" t="n"/>
    </row>
    <row r="175" spans="1:10">
      <c r="A175" s="45" t="n"/>
      <c r="B175" s="67" t="n"/>
    </row>
    <row r="176" spans="1:10">
      <c r="A176" s="45" t="n"/>
      <c r="B176" s="67" t="n"/>
    </row>
    <row r="177" spans="1:10">
      <c r="A177" s="45" t="n"/>
      <c r="B177" s="67" t="n"/>
    </row>
    <row r="178" spans="1:10">
      <c r="A178" s="45" t="n"/>
      <c r="B178" s="67" t="n"/>
    </row>
    <row r="179" spans="1:10">
      <c r="A179" s="45" t="n"/>
      <c r="B179" s="67" t="n"/>
    </row>
    <row r="180" spans="1:10">
      <c r="A180" s="45" t="n"/>
      <c r="B180" s="67" t="n"/>
    </row>
    <row r="181" spans="1:10">
      <c r="A181" s="45" t="n"/>
      <c r="B181" s="67" t="n"/>
    </row>
    <row r="182" spans="1:10">
      <c r="A182" s="45" t="n"/>
      <c r="B182" s="67" t="n"/>
    </row>
    <row r="183" spans="1:10">
      <c r="A183" s="45" t="n"/>
      <c r="B183" s="67" t="n"/>
    </row>
    <row r="184" spans="1:10">
      <c r="A184" s="45" t="n"/>
      <c r="B184" s="67" t="n"/>
    </row>
    <row r="185" spans="1:10">
      <c r="A185" s="45" t="n"/>
      <c r="B185" s="67" t="n"/>
    </row>
    <row r="186" spans="1:10">
      <c r="A186" s="45" t="n"/>
      <c r="B186" s="67" t="n"/>
    </row>
    <row r="187" spans="1:10">
      <c r="A187" s="45" t="n"/>
      <c r="B187" s="67" t="n"/>
    </row>
    <row r="188" spans="1:10">
      <c r="A188" s="45" t="n"/>
      <c r="B188" s="67" t="n"/>
    </row>
    <row r="189" spans="1:10">
      <c r="A189" s="45" t="n"/>
      <c r="B189" s="67" t="n"/>
    </row>
    <row r="190" spans="1:10">
      <c r="A190" s="45" t="n"/>
      <c r="B190" s="67" t="n"/>
    </row>
    <row r="191" spans="1:10">
      <c r="A191" s="45" t="n"/>
      <c r="B191" s="67" t="n"/>
    </row>
    <row r="192" spans="1:10">
      <c r="A192" s="45" t="n"/>
      <c r="B192" s="67" t="n"/>
    </row>
    <row r="193" spans="1:10">
      <c r="A193" s="45" t="n"/>
      <c r="B193" s="67" t="n"/>
    </row>
    <row r="194" spans="1:10">
      <c r="A194" s="45" t="n"/>
      <c r="B194" s="67" t="n"/>
    </row>
    <row r="195" spans="1:10">
      <c r="A195" s="45" t="n"/>
      <c r="B195" s="67" t="n"/>
    </row>
    <row r="196" spans="1:10">
      <c r="A196" s="45" t="n"/>
      <c r="B196" s="67" t="n"/>
    </row>
    <row r="197" spans="1:10">
      <c r="A197" s="45" t="n"/>
      <c r="B197" s="67" t="n"/>
    </row>
    <row r="198" spans="1:10">
      <c r="A198" s="45" t="n"/>
      <c r="B198" s="67" t="n"/>
    </row>
    <row r="199" spans="1:10">
      <c r="A199" s="45" t="n"/>
      <c r="B199" s="67" t="n"/>
    </row>
    <row r="200" spans="1:10">
      <c r="A200" s="45" t="n"/>
      <c r="B200" s="67" t="n"/>
    </row>
    <row r="201" spans="1:10">
      <c r="A201" s="45" t="n"/>
      <c r="B201" s="67" t="n"/>
    </row>
    <row r="202" spans="1:10">
      <c r="A202" s="45" t="n"/>
      <c r="B202" s="67" t="n"/>
    </row>
    <row r="203" spans="1:10">
      <c r="A203" s="45" t="n"/>
      <c r="B203" s="67" t="n"/>
    </row>
    <row r="204" spans="1:10">
      <c r="A204" s="45" t="n"/>
      <c r="B204" s="67" t="n"/>
    </row>
    <row r="205" spans="1:10">
      <c r="A205" s="45" t="n"/>
      <c r="B205" s="67" t="n"/>
    </row>
    <row r="206" spans="1:10">
      <c r="A206" s="45" t="n"/>
      <c r="B206" s="67" t="n"/>
    </row>
    <row r="207" spans="1:10">
      <c r="A207" s="45" t="n"/>
      <c r="B207" s="67" t="n"/>
    </row>
    <row r="208" spans="1:10">
      <c r="A208" s="45" t="n"/>
      <c r="B208" s="67" t="n"/>
    </row>
    <row r="209" spans="1:10">
      <c r="A209" s="45" t="n"/>
      <c r="B209" s="67" t="n"/>
    </row>
    <row r="210" spans="1:10">
      <c r="A210" s="45" t="n"/>
      <c r="B210" s="67" t="n"/>
    </row>
    <row r="211" spans="1:10">
      <c r="A211" s="45" t="n"/>
      <c r="B211" s="67" t="n"/>
    </row>
    <row r="212" spans="1:10">
      <c r="A212" s="45" t="n"/>
      <c r="B212" s="67" t="n"/>
    </row>
    <row r="213" spans="1:10">
      <c r="A213" s="45" t="n"/>
      <c r="B213" s="67" t="n"/>
    </row>
    <row r="214" spans="1:10">
      <c r="A214" s="45" t="n"/>
      <c r="B214" s="67" t="n"/>
    </row>
    <row r="215" spans="1:10">
      <c r="A215" s="45" t="n"/>
      <c r="B215" s="67" t="n"/>
    </row>
    <row r="216" spans="1:10">
      <c r="A216" s="45" t="n"/>
      <c r="B216" s="67" t="n"/>
    </row>
    <row r="217" spans="1:10">
      <c r="A217" s="45" t="n"/>
      <c r="B217" s="67" t="n"/>
    </row>
    <row r="218" spans="1:10">
      <c r="A218" s="45" t="n"/>
      <c r="B218" s="67" t="n"/>
    </row>
    <row r="219" spans="1:10">
      <c r="A219" s="45" t="n"/>
      <c r="B219" s="67" t="n"/>
    </row>
    <row r="220" spans="1:10">
      <c r="A220" s="45" t="n"/>
      <c r="B220" s="67" t="n"/>
    </row>
    <row r="221" spans="1:10">
      <c r="A221" s="45" t="n"/>
      <c r="B221" s="67" t="n"/>
    </row>
    <row r="222" spans="1:10">
      <c r="A222" s="45" t="n"/>
      <c r="B222" s="67" t="n"/>
    </row>
    <row r="223" spans="1:10">
      <c r="A223" s="45" t="n"/>
      <c r="B223" s="67" t="n"/>
    </row>
    <row r="224" spans="1:10">
      <c r="A224" s="45" t="n"/>
      <c r="B224" s="67" t="n"/>
    </row>
    <row r="225" spans="1:10">
      <c r="A225" s="45" t="n"/>
      <c r="B225" s="67" t="n"/>
    </row>
    <row r="226" spans="1:10">
      <c r="A226" s="45" t="n"/>
      <c r="B226" s="67" t="n"/>
    </row>
    <row r="227" spans="1:10">
      <c r="A227" s="45" t="n"/>
      <c r="B227" s="67" t="n"/>
    </row>
    <row r="228" spans="1:10">
      <c r="A228" s="45" t="n"/>
      <c r="B228" s="67" t="n"/>
    </row>
    <row r="229" spans="1:10">
      <c r="A229" s="45" t="n"/>
      <c r="B229" s="67" t="n"/>
    </row>
    <row r="230" spans="1:10">
      <c r="A230" s="45" t="n"/>
      <c r="B230" s="67" t="n"/>
    </row>
    <row r="231" spans="1:10">
      <c r="A231" s="45" t="n"/>
      <c r="B231" s="67" t="n"/>
    </row>
    <row r="232" spans="1:10">
      <c r="A232" s="45" t="n"/>
      <c r="B232" s="67" t="n"/>
    </row>
    <row r="233" spans="1:10">
      <c r="A233" s="45" t="n"/>
      <c r="B233" s="67" t="n"/>
    </row>
    <row r="234" spans="1:10">
      <c r="A234" s="45" t="n"/>
      <c r="B234" s="67" t="n"/>
    </row>
    <row r="235" spans="1:10">
      <c r="A235" s="45" t="n"/>
      <c r="B235" s="67" t="n"/>
    </row>
    <row r="236" spans="1:10">
      <c r="A236" s="45" t="n"/>
      <c r="B236" s="67" t="n"/>
    </row>
    <row r="237" spans="1:10">
      <c r="A237" s="45" t="n"/>
      <c r="B237" s="67" t="n"/>
    </row>
    <row r="238" spans="1:10">
      <c r="A238" s="45" t="n"/>
      <c r="B238" s="67" t="n"/>
    </row>
    <row r="239" spans="1:10">
      <c r="A239" s="45" t="n"/>
      <c r="B239" s="67" t="n"/>
    </row>
    <row r="240" spans="1:10">
      <c r="A240" s="45" t="n"/>
      <c r="B240" s="67" t="n"/>
    </row>
    <row r="241" spans="1:10">
      <c r="A241" s="45" t="n"/>
      <c r="B241" s="67" t="n"/>
    </row>
    <row r="242" spans="1:10">
      <c r="A242" s="45" t="n"/>
      <c r="B242" s="67" t="n"/>
    </row>
    <row r="243" spans="1:10">
      <c r="A243" s="45" t="n"/>
      <c r="B243" s="67" t="n"/>
    </row>
    <row r="244" spans="1:10">
      <c r="A244" s="45" t="n"/>
      <c r="B244" s="67" t="n"/>
    </row>
    <row r="245" spans="1:10">
      <c r="A245" s="45" t="n"/>
      <c r="B245" s="67" t="n"/>
    </row>
    <row r="246" spans="1:10">
      <c r="A246" s="45" t="n"/>
      <c r="B246" s="67" t="n"/>
    </row>
    <row r="247" spans="1:10">
      <c r="A247" s="45" t="n"/>
      <c r="B247" s="67" t="n"/>
    </row>
    <row r="248" spans="1:10">
      <c r="A248" s="45" t="n"/>
      <c r="B248" s="67" t="n"/>
    </row>
    <row r="249" spans="1:10">
      <c r="A249" s="45" t="n"/>
      <c r="B249" s="67" t="n"/>
    </row>
    <row r="250" spans="1:10">
      <c r="A250" s="45" t="n"/>
      <c r="B250" s="67" t="n"/>
    </row>
    <row r="251" spans="1:10">
      <c r="A251" s="45" t="n"/>
      <c r="B251" s="67" t="n"/>
    </row>
    <row r="252" spans="1:10">
      <c r="A252" s="45" t="n"/>
      <c r="B252" s="67" t="n"/>
    </row>
    <row r="253" spans="1:10">
      <c r="A253" s="45" t="n"/>
      <c r="B253" s="67" t="n"/>
    </row>
    <row r="254" spans="1:10">
      <c r="A254" s="45" t="n"/>
      <c r="B254" s="67" t="n"/>
    </row>
    <row r="255" spans="1:10">
      <c r="A255" s="45" t="n"/>
      <c r="B255" s="67" t="n"/>
    </row>
    <row r="256" spans="1:10">
      <c r="A256" s="45" t="n"/>
      <c r="B256" s="67" t="n"/>
    </row>
    <row r="257" spans="1:10">
      <c r="A257" s="45" t="n"/>
      <c r="B257" s="67" t="n"/>
    </row>
    <row r="258" spans="1:10">
      <c r="A258" s="45" t="n"/>
      <c r="B258" s="67" t="n"/>
    </row>
    <row r="259" spans="1:10">
      <c r="A259" s="45" t="n"/>
      <c r="B259" s="67" t="n"/>
    </row>
    <row r="260" spans="1:10">
      <c r="A260" s="45" t="n"/>
      <c r="B260" s="67" t="n"/>
    </row>
    <row r="261" spans="1:10">
      <c r="A261" s="45" t="n"/>
      <c r="B261" s="67" t="n"/>
    </row>
    <row r="262" spans="1:10">
      <c r="A262" s="45" t="n"/>
      <c r="B262" s="67" t="n"/>
    </row>
    <row r="263" spans="1:10">
      <c r="A263" s="45" t="n"/>
      <c r="B263" s="67" t="n"/>
    </row>
    <row r="264" spans="1:10">
      <c r="A264" s="45" t="n"/>
      <c r="B264" s="67" t="n"/>
    </row>
    <row r="265" spans="1:10">
      <c r="A265" s="45" t="n"/>
      <c r="B265" s="67" t="n"/>
    </row>
    <row r="266" spans="1:10">
      <c r="A266" s="45" t="n"/>
      <c r="B266" s="67" t="n"/>
    </row>
    <row r="267" spans="1:10">
      <c r="A267" s="45" t="n"/>
      <c r="B267" s="67" t="n"/>
    </row>
    <row r="268" spans="1:10">
      <c r="A268" s="45" t="n"/>
      <c r="B268" s="67" t="n"/>
    </row>
    <row r="269" spans="1:10">
      <c r="A269" s="45" t="n"/>
      <c r="B269" s="67" t="n"/>
    </row>
    <row r="270" spans="1:10">
      <c r="A270" s="45" t="n"/>
      <c r="B270" s="67" t="n"/>
    </row>
    <row r="271" spans="1:10">
      <c r="A271" s="45" t="n"/>
      <c r="B271" s="67" t="n"/>
    </row>
    <row r="272" spans="1:10">
      <c r="A272" s="45" t="n"/>
      <c r="B272" s="67" t="n"/>
    </row>
    <row r="273" spans="1:10">
      <c r="A273" s="45" t="n"/>
      <c r="B273" s="67" t="n"/>
    </row>
    <row r="274" spans="1:10">
      <c r="A274" s="45" t="n"/>
      <c r="B274" s="67" t="n"/>
    </row>
    <row r="275" spans="1:10">
      <c r="A275" s="45" t="n"/>
      <c r="B275" s="67" t="n"/>
    </row>
    <row r="276" spans="1:10">
      <c r="A276" s="45" t="n"/>
      <c r="B276" s="67" t="n"/>
    </row>
    <row r="277" spans="1:10">
      <c r="A277" s="45" t="n"/>
      <c r="B277" s="67" t="n"/>
    </row>
    <row r="278" spans="1:10">
      <c r="A278" s="45" t="n"/>
      <c r="B278" s="67" t="n"/>
    </row>
    <row r="279" spans="1:10">
      <c r="A279" s="45" t="n"/>
      <c r="B279" s="67" t="n"/>
    </row>
    <row r="280" spans="1:10">
      <c r="A280" s="45" t="n"/>
      <c r="B280" s="67" t="n"/>
    </row>
    <row r="281" spans="1:10">
      <c r="A281" s="45" t="n"/>
      <c r="B281" s="67" t="n"/>
    </row>
    <row r="282" spans="1:10">
      <c r="A282" s="45" t="n"/>
      <c r="B282" s="67" t="n"/>
    </row>
    <row r="283" spans="1:10">
      <c r="A283" s="45" t="n"/>
      <c r="B283" s="67" t="n"/>
    </row>
    <row r="284" spans="1:10">
      <c r="A284" s="45" t="n"/>
      <c r="B284" s="67" t="n"/>
    </row>
    <row r="285" spans="1:10">
      <c r="A285" s="45" t="n"/>
      <c r="B285" s="67" t="n"/>
    </row>
    <row r="286" spans="1:10">
      <c r="A286" s="45" t="n"/>
      <c r="B286" s="67" t="n"/>
    </row>
    <row r="287" spans="1:10">
      <c r="A287" s="45" t="n"/>
      <c r="B287" s="67" t="n"/>
    </row>
    <row r="288" spans="1:10">
      <c r="A288" s="45" t="n"/>
      <c r="B288" s="67" t="n"/>
    </row>
    <row r="289" spans="1:10">
      <c r="A289" s="45" t="n"/>
      <c r="B289" s="67" t="n"/>
    </row>
    <row r="290" spans="1:10">
      <c r="A290" s="45" t="n"/>
      <c r="B290" s="67" t="n"/>
    </row>
    <row r="291" spans="1:10">
      <c r="A291" s="45" t="n"/>
      <c r="B291" s="67" t="n"/>
    </row>
    <row r="292" spans="1:10">
      <c r="A292" s="45" t="n"/>
      <c r="B292" s="67" t="n"/>
    </row>
    <row r="293" spans="1:10">
      <c r="A293" s="45" t="n"/>
      <c r="B293" s="67" t="n"/>
    </row>
    <row r="294" spans="1:10">
      <c r="A294" s="45" t="n"/>
      <c r="B294" s="67" t="n"/>
    </row>
    <row r="295" spans="1:10">
      <c r="A295" s="45" t="n"/>
      <c r="B295" s="67" t="n"/>
    </row>
    <row r="296" spans="1:10">
      <c r="A296" s="45" t="n"/>
      <c r="B296" s="67" t="n"/>
    </row>
    <row r="297" spans="1:10">
      <c r="A297" s="45" t="n"/>
      <c r="B297" s="67" t="n"/>
    </row>
    <row r="298" spans="1:10">
      <c r="A298" s="45" t="n"/>
      <c r="B298" s="67" t="n"/>
    </row>
    <row r="299" spans="1:10">
      <c r="A299" s="45" t="n"/>
      <c r="B299" s="67" t="n"/>
    </row>
    <row r="300" spans="1:10">
      <c r="A300" s="45" t="n"/>
      <c r="B300" s="67" t="n"/>
    </row>
    <row r="301" spans="1:10">
      <c r="A301" s="45" t="n"/>
      <c r="B301" s="67" t="n"/>
    </row>
    <row r="302" spans="1:10">
      <c r="A302" s="45" t="n"/>
      <c r="B302" s="67" t="n"/>
    </row>
    <row r="303" spans="1:10">
      <c r="A303" s="45" t="n"/>
      <c r="B303" s="67" t="n"/>
    </row>
    <row r="304" spans="1:10">
      <c r="A304" s="45" t="n"/>
      <c r="B304" s="67" t="n"/>
    </row>
    <row r="305" spans="1:10">
      <c r="A305" s="45" t="n"/>
      <c r="B305" s="67" t="n"/>
    </row>
    <row r="306" spans="1:10">
      <c r="A306" s="45" t="n"/>
      <c r="B306" s="67" t="n"/>
    </row>
    <row r="307" spans="1:10">
      <c r="A307" s="45" t="n"/>
      <c r="B307" s="67" t="n"/>
    </row>
    <row r="308" spans="1:10">
      <c r="A308" s="45" t="n"/>
      <c r="B308" s="67" t="n"/>
    </row>
    <row r="309" spans="1:10">
      <c r="A309" s="45" t="n"/>
      <c r="B309" s="67" t="n"/>
    </row>
    <row r="310" spans="1:10">
      <c r="A310" s="45" t="n"/>
      <c r="B310" s="67" t="n"/>
    </row>
    <row r="311" spans="1:10">
      <c r="A311" s="45" t="n"/>
      <c r="B311" s="67" t="n"/>
    </row>
    <row r="312" spans="1:10">
      <c r="A312" s="45" t="n"/>
      <c r="B312" s="67" t="n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rintOptions horizontalCentered="1"/>
  <pageMargins bottom="0.75" footer="0.5" header="0.5" left="0.5" right="0.5" top="0.75"/>
  <pageSetup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R1903"/>
  <sheetViews>
    <sheetView workbookViewId="0" zoomScale="130" zoomScaleNormal="130">
      <pane activePane="bottomLeft" state="frozen" topLeftCell="A27" ySplit="5"/>
      <selection activeCell="K1" pane="bottomLeft" sqref="K1:P1048576"/>
    </sheetView>
  </sheetViews>
  <sheetFormatPr baseColWidth="8" defaultRowHeight="12.75" outlineLevelCol="0"/>
  <cols>
    <col customWidth="1" max="1" min="1" style="142" width="24.28515625"/>
    <col bestFit="1" customWidth="1" max="2" min="2" style="142" width="11.140625"/>
    <col customWidth="1" hidden="1" max="6" min="3" style="142" width="8.7109375"/>
    <col customWidth="1" hidden="1" max="8" min="7" style="142" width="9.140625"/>
    <col customWidth="1" hidden="1" max="9" min="9" style="142" width="7.85546875"/>
    <col customWidth="1" max="10" min="10" style="142" width="9.140625"/>
    <col customWidth="1" hidden="1" max="11" min="11" style="142" width="9.140625"/>
    <col customWidth="1" hidden="1" max="12" min="12" style="142" width="9.5703125"/>
    <col customWidth="1" hidden="1" max="13" min="13" style="142" width="9.140625"/>
    <col customWidth="1" hidden="1" max="14" min="14" style="142" width="8.7109375"/>
    <col customWidth="1" hidden="1" max="16" min="15" style="3" width="9.5703125"/>
    <col customWidth="1" max="17" min="17" style="3" width="9.140625"/>
    <col customWidth="1" max="18" min="18" style="3" width="13.85546875"/>
    <col customWidth="1" max="19" min="19" style="3" width="9.140625"/>
  </cols>
  <sheetData>
    <row customHeight="1" ht="15.75" r="1" s="3" spans="1:18">
      <c r="A1" s="32" t="s">
        <v>11</v>
      </c>
      <c r="B1" s="142" t="n"/>
    </row>
    <row r="2" spans="1:18">
      <c r="A2" s="127" t="s">
        <v>88</v>
      </c>
      <c r="B2" s="127" t="s">
        <v>4</v>
      </c>
      <c r="C2" s="302">
        <f>'Utility Summary'!C3</f>
        <v/>
      </c>
      <c r="D2" s="302">
        <f>'Utility Summary'!D3</f>
        <v/>
      </c>
      <c r="E2" s="302">
        <f>'Utility Summary'!E3</f>
        <v/>
      </c>
      <c r="F2" s="302">
        <f>'Utility Summary'!F3</f>
        <v/>
      </c>
      <c r="G2" s="302">
        <f>'Utility Summary'!G3</f>
        <v/>
      </c>
      <c r="H2" s="302">
        <f>'Utility Summary'!H3</f>
        <v/>
      </c>
      <c r="I2" s="302">
        <f>'Utility Summary'!I3</f>
        <v/>
      </c>
      <c r="J2" s="302">
        <f>'Utility Summary'!J3</f>
        <v/>
      </c>
      <c r="K2" s="302">
        <f>'Utility Summary'!K3</f>
        <v/>
      </c>
      <c r="L2" s="302">
        <f>'Utility Summary'!L3</f>
        <v/>
      </c>
      <c r="M2" s="302">
        <f>'Utility Summary'!M3</f>
        <v/>
      </c>
      <c r="N2" s="302">
        <f>'Utility Summary'!N3</f>
        <v/>
      </c>
      <c r="O2" s="197" t="s">
        <v>1</v>
      </c>
      <c r="P2" s="131" t="s">
        <v>5</v>
      </c>
    </row>
    <row r="3" spans="1:18">
      <c r="A3" s="142" t="n"/>
      <c r="B3" s="274" t="s">
        <v>46</v>
      </c>
      <c r="C3" s="318" t="n">
        <v>42219</v>
      </c>
      <c r="D3" s="318">
        <f>Electricity!D4</f>
        <v/>
      </c>
      <c r="E3" s="318">
        <f>Electricity!E4</f>
        <v/>
      </c>
      <c r="F3" s="318" t="n">
        <v>42675</v>
      </c>
      <c r="G3" s="318" t="n">
        <v>42705</v>
      </c>
      <c r="H3" s="318" t="n">
        <v>42005</v>
      </c>
      <c r="I3" s="318" t="n">
        <v>42768</v>
      </c>
      <c r="J3" s="318" t="n">
        <v>40969</v>
      </c>
      <c r="K3" s="318" t="n">
        <v>42095</v>
      </c>
      <c r="L3" s="318" t="n">
        <v>41763</v>
      </c>
      <c r="M3" s="318" t="n">
        <v>42156</v>
      </c>
      <c r="N3" s="318" t="n">
        <v>41456</v>
      </c>
      <c r="O3" s="198" t="n"/>
      <c r="P3" s="189" t="n"/>
    </row>
    <row customFormat="1" customHeight="1" ht="22.5" r="4" s="93" spans="1:18">
      <c r="A4" s="82" t="n"/>
      <c r="B4" s="133" t="s">
        <v>168</v>
      </c>
      <c r="C4" s="362" t="n">
        <v>0.112355</v>
      </c>
      <c r="D4" s="362" t="n">
        <v>0.112355</v>
      </c>
      <c r="E4" s="362" t="n">
        <v>0.112355</v>
      </c>
      <c r="F4" s="362" t="n">
        <v>0.112355</v>
      </c>
      <c r="G4" s="362" t="n">
        <v>0.112355</v>
      </c>
      <c r="H4" s="362" t="n">
        <v>0.112355</v>
      </c>
      <c r="I4" s="362" t="n">
        <v>0.112355</v>
      </c>
      <c r="J4" s="362" t="n">
        <v>0.112355</v>
      </c>
      <c r="K4" s="362" t="n">
        <v>0.112355</v>
      </c>
      <c r="L4" s="362" t="n">
        <v>0.112355</v>
      </c>
      <c r="M4" s="362" t="n">
        <v>0.112355</v>
      </c>
      <c r="N4" s="362" t="n">
        <v>0.112355</v>
      </c>
      <c r="O4" s="199" t="n"/>
      <c r="P4" s="133" t="n"/>
    </row>
    <row r="5" spans="1:18">
      <c r="A5" s="127" t="n"/>
      <c r="B5" s="127" t="n"/>
      <c r="C5" s="127" t="n"/>
      <c r="D5" s="127" t="n"/>
      <c r="E5" s="127" t="n"/>
      <c r="F5" s="127" t="n"/>
      <c r="G5" s="127" t="n"/>
      <c r="H5" s="127" t="n"/>
      <c r="I5" s="127" t="n"/>
      <c r="J5" s="127" t="n"/>
      <c r="K5" s="127" t="n"/>
      <c r="L5" s="127" t="n"/>
      <c r="M5" s="127" t="n"/>
      <c r="N5" s="127" t="n"/>
      <c r="O5" s="200" t="n"/>
    </row>
    <row r="6" spans="1:18">
      <c r="A6" s="142" t="s">
        <v>90</v>
      </c>
      <c r="B6" s="142" t="s">
        <v>169</v>
      </c>
      <c r="C6" s="86">
        <f>12573.12/(2976/2976)</f>
        <v/>
      </c>
      <c r="D6" s="86">
        <f>12677.805/(2976/2976)</f>
        <v/>
      </c>
      <c r="E6" s="86">
        <f>8846.974/(2880/2880)</f>
        <v/>
      </c>
      <c r="F6" s="86">
        <f>3745.587/(2970/2976)</f>
        <v/>
      </c>
      <c r="G6" s="86">
        <f>134.3979/(207/2880)</f>
        <v/>
      </c>
      <c r="H6" s="86">
        <f>514.0362/(612.3987/2976)</f>
        <v/>
      </c>
      <c r="I6" s="86">
        <f>AVERAGE(830,196)</f>
        <v/>
      </c>
      <c r="J6" s="86">
        <f>917.822/(2688/2688)</f>
        <v/>
      </c>
      <c r="K6" s="86">
        <f>1193.5877/(2248/2976)</f>
        <v/>
      </c>
      <c r="L6" s="86">
        <f>1715.85/(2838/2880)</f>
        <v/>
      </c>
      <c r="M6" s="86">
        <f>4464.6/(2808/2976)</f>
        <v/>
      </c>
      <c r="N6" s="86">
        <f>7275.271/(2237/2880)</f>
        <v/>
      </c>
      <c r="O6" s="201">
        <f>SUM(C6:N6)</f>
        <v/>
      </c>
      <c r="Q6" s="86" t="n"/>
    </row>
    <row r="7" spans="1:18">
      <c r="A7" s="142" t="s">
        <v>92</v>
      </c>
      <c r="B7" s="142" t="s">
        <v>50</v>
      </c>
      <c r="C7" s="296">
        <f>ROUND(C6*C$4,2)</f>
        <v/>
      </c>
      <c r="D7" s="296">
        <f>ROUND(D6*D$4,2)</f>
        <v/>
      </c>
      <c r="E7" s="296">
        <f>ROUND(E6*E$4,2)</f>
        <v/>
      </c>
      <c r="F7" s="296">
        <f>ROUND(F6*F$4,2)</f>
        <v/>
      </c>
      <c r="G7" s="296">
        <f>ROUND(G6*G$4,2)</f>
        <v/>
      </c>
      <c r="H7" s="296">
        <f>ROUND(H6*H$4,2)</f>
        <v/>
      </c>
      <c r="I7" s="296">
        <f>ROUND(I6*I$4,2)</f>
        <v/>
      </c>
      <c r="J7" s="296">
        <f>ROUND(J6*J$4,2)</f>
        <v/>
      </c>
      <c r="K7" s="296">
        <f>ROUND(K6*K$4,2)</f>
        <v/>
      </c>
      <c r="L7" s="296">
        <f>ROUND(L6*L$4,2)</f>
        <v/>
      </c>
      <c r="M7" s="296">
        <f>ROUND(M6*M$4,2)</f>
        <v/>
      </c>
      <c r="N7" s="296">
        <f>ROUND(N6*N$4,2)</f>
        <v/>
      </c>
      <c r="O7" s="327">
        <f>SUM(C7:N7)</f>
        <v/>
      </c>
      <c r="Q7" s="86" t="n"/>
    </row>
    <row r="8" spans="1:18">
      <c r="A8" s="142" t="n"/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98" t="n"/>
      <c r="Q8" s="86" t="n"/>
    </row>
    <row customHeight="1" ht="15" r="9" s="3" spans="1:18">
      <c r="A9" s="274" t="s">
        <v>12</v>
      </c>
      <c r="B9" s="142" t="s">
        <v>169</v>
      </c>
      <c r="C9" s="86">
        <f>7371.48/(2255/2976)</f>
        <v/>
      </c>
      <c r="D9" s="86">
        <f>9845.01/(2974/2976)</f>
        <v/>
      </c>
      <c r="E9" s="86">
        <f>5461.8756/(2879/2880)</f>
        <v/>
      </c>
      <c r="F9" s="86">
        <f>2746.013/(2964/2976)</f>
        <v/>
      </c>
      <c r="G9" s="86">
        <f>4095.724/(2875/2880)</f>
        <v/>
      </c>
      <c r="H9" s="86">
        <f>2343.028/(2706/2976)</f>
        <v/>
      </c>
      <c r="I9" s="86">
        <f>AVERAGE(390,1460)</f>
        <v/>
      </c>
      <c r="J9" s="86">
        <f>3352.169/(2688/2688)</f>
        <v/>
      </c>
      <c r="K9" s="86">
        <f>3229.59/(2241/2976)</f>
        <v/>
      </c>
      <c r="L9" s="86">
        <f>1002.12/(2576/2880)</f>
        <v/>
      </c>
      <c r="M9" s="86">
        <f>4239.23/(2792/2976)</f>
        <v/>
      </c>
      <c r="N9" s="267">
        <f>932.247/(543/2880)</f>
        <v/>
      </c>
      <c r="O9" s="201">
        <f>SUM(C9:N9)</f>
        <v/>
      </c>
      <c r="Q9" s="86" t="n"/>
    </row>
    <row r="10" spans="1:18">
      <c r="A10" s="129" t="s">
        <v>170</v>
      </c>
      <c r="B10" s="142" t="s">
        <v>50</v>
      </c>
      <c r="C10" s="296">
        <f>ROUND(C9*C$4,2)</f>
        <v/>
      </c>
      <c r="D10" s="296">
        <f>ROUND(D9*D$4,2)</f>
        <v/>
      </c>
      <c r="E10" s="296">
        <f>ROUND(E9*E$4,2)</f>
        <v/>
      </c>
      <c r="F10" s="296">
        <f>ROUND(F9*F$4,2)</f>
        <v/>
      </c>
      <c r="G10" s="296">
        <f>ROUND(G9*G$4,2)</f>
        <v/>
      </c>
      <c r="H10" s="296">
        <f>ROUND(H9*H$4,2)</f>
        <v/>
      </c>
      <c r="I10" s="296">
        <f>ROUND(I9*I$4,2)</f>
        <v/>
      </c>
      <c r="J10" s="296">
        <f>ROUND(J9*J$4,2)</f>
        <v/>
      </c>
      <c r="K10" s="296">
        <f>ROUND(K9*K$4,2)</f>
        <v/>
      </c>
      <c r="L10" s="296">
        <f>ROUND(L9*L$4,2)</f>
        <v/>
      </c>
      <c r="M10" s="296">
        <f>ROUND(M9*M$4,2)</f>
        <v/>
      </c>
      <c r="N10" s="296">
        <f>ROUND(N9*N$4,2)</f>
        <v/>
      </c>
      <c r="O10" s="327">
        <f>SUM(C10:N10)</f>
        <v/>
      </c>
      <c r="Q10" s="86" t="n"/>
    </row>
    <row r="11" spans="1:18">
      <c r="A11" s="142" t="n"/>
      <c r="B11" s="142" t="n"/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296" t="n"/>
      <c r="M11" s="296" t="n"/>
      <c r="N11" s="296" t="n"/>
      <c r="O11" s="327" t="n"/>
      <c r="Q11" s="86" t="n"/>
    </row>
    <row r="12" spans="1:18">
      <c r="A12" s="274" t="s">
        <v>13</v>
      </c>
      <c r="B12" s="142" t="s">
        <v>169</v>
      </c>
      <c r="C12" s="86">
        <f>2162.3/(2974/2976)</f>
        <v/>
      </c>
      <c r="D12" s="86">
        <f>5258.81/(2973/2976)</f>
        <v/>
      </c>
      <c r="E12" s="86">
        <f>2077.59/(2096/2880)</f>
        <v/>
      </c>
      <c r="F12" s="86">
        <f>5666.251/(2969/2976)</f>
        <v/>
      </c>
      <c r="G12" s="86">
        <f>1572.886/(2874/2880)</f>
        <v/>
      </c>
      <c r="H12" s="86">
        <f>443.692/(2706/2976)</f>
        <v/>
      </c>
      <c r="I12" s="86">
        <f>AVERAGE(334,1201)</f>
        <v/>
      </c>
      <c r="J12" s="86">
        <f>1079.274/(2688/2688)</f>
        <v/>
      </c>
      <c r="K12" s="86">
        <f>1644.02/(2235/2976)</f>
        <v/>
      </c>
      <c r="L12" s="86">
        <f>1395.1/(2665/2880)</f>
        <v/>
      </c>
      <c r="M12" s="86">
        <f>1845.94/(2791/2976)</f>
        <v/>
      </c>
      <c r="N12" s="86">
        <f>312.1/(417/2880)</f>
        <v/>
      </c>
      <c r="O12" s="201">
        <f>SUM(C12:N12)</f>
        <v/>
      </c>
      <c r="Q12" s="86" t="n"/>
    </row>
    <row r="13" spans="1:18">
      <c r="A13" s="129" t="s">
        <v>171</v>
      </c>
      <c r="B13" s="142" t="s">
        <v>50</v>
      </c>
      <c r="C13" s="296">
        <f>ROUND(C12*C$4,2)</f>
        <v/>
      </c>
      <c r="D13" s="296">
        <f>ROUND(D12*D$4,2)</f>
        <v/>
      </c>
      <c r="E13" s="296">
        <f>ROUND(E12*E$4,2)</f>
        <v/>
      </c>
      <c r="F13" s="296">
        <f>ROUND(F12*F$4,2)</f>
        <v/>
      </c>
      <c r="G13" s="296">
        <f>ROUND(G12*G$4,2)</f>
        <v/>
      </c>
      <c r="H13" s="296">
        <f>ROUND(H12*H$4,2)</f>
        <v/>
      </c>
      <c r="I13" s="296">
        <f>ROUND(I12*I$4,2)</f>
        <v/>
      </c>
      <c r="J13" s="296">
        <f>ROUND(J12*J$4,2)</f>
        <v/>
      </c>
      <c r="K13" s="296">
        <f>ROUND(K12*K$4,2)</f>
        <v/>
      </c>
      <c r="L13" s="296">
        <f>ROUND(L12*L$4,2)</f>
        <v/>
      </c>
      <c r="M13" s="296">
        <f>ROUND(M12*M$4,2)</f>
        <v/>
      </c>
      <c r="N13" s="296">
        <f>ROUND(N12*N$4,2)</f>
        <v/>
      </c>
      <c r="O13" s="327">
        <f>SUM(C13:N13)</f>
        <v/>
      </c>
      <c r="Q13" s="86" t="n"/>
    </row>
    <row r="14" spans="1:18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98" t="n"/>
      <c r="Q14" s="86" t="n"/>
    </row>
    <row r="15" spans="1:18">
      <c r="A15" s="142" t="s">
        <v>14</v>
      </c>
      <c r="B15" s="142" t="s">
        <v>169</v>
      </c>
      <c r="C15" s="86">
        <f>3279.7/(2975/2976)</f>
        <v/>
      </c>
      <c r="D15" s="86">
        <f>588.43/(2931/2976)</f>
        <v/>
      </c>
      <c r="E15" s="86">
        <f>1483.59/(2271/2880)</f>
        <v/>
      </c>
      <c r="F15" s="86">
        <f>3551.82/(2969/2976)</f>
        <v/>
      </c>
      <c r="G15" s="86">
        <f>3192.547/(2876/2880)</f>
        <v/>
      </c>
      <c r="H15" s="254">
        <f>1881.63/(2706/2976)</f>
        <v/>
      </c>
      <c r="I15" s="86">
        <f>AVERAGE(274,770)</f>
        <v/>
      </c>
      <c r="J15" s="86">
        <f>2300.9257/(2688/2688)</f>
        <v/>
      </c>
      <c r="K15" s="86">
        <f>2040.9838/(2211/2976)</f>
        <v/>
      </c>
      <c r="L15" s="86">
        <f>686.63/(2675/2880)</f>
        <v/>
      </c>
      <c r="M15" s="86">
        <f>1713.65/(2792/2976)</f>
        <v/>
      </c>
      <c r="N15" s="86">
        <f>1981.3/(2213/2880)</f>
        <v/>
      </c>
      <c r="O15" s="201">
        <f>SUM(C15:N15)</f>
        <v/>
      </c>
      <c r="Q15" s="86" t="n"/>
    </row>
    <row r="16" spans="1:18">
      <c r="A16" s="129" t="s">
        <v>172</v>
      </c>
      <c r="B16" s="142" t="s">
        <v>50</v>
      </c>
      <c r="C16" s="296">
        <f>ROUND(C15*C$4,2)</f>
        <v/>
      </c>
      <c r="D16" s="296">
        <f>ROUND(D15*D$4,2)</f>
        <v/>
      </c>
      <c r="E16" s="296">
        <f>ROUND(E15*E$4,2)</f>
        <v/>
      </c>
      <c r="F16" s="296">
        <f>ROUND(F15*F$4,2)</f>
        <v/>
      </c>
      <c r="G16" s="296">
        <f>ROUND(G15*G$4,2)</f>
        <v/>
      </c>
      <c r="H16" s="296">
        <f>ROUND(H15*H$4,2)</f>
        <v/>
      </c>
      <c r="I16" s="296">
        <f>ROUND(I15*I$4,2)</f>
        <v/>
      </c>
      <c r="J16" s="296">
        <f>ROUND(J15*J$4,2)</f>
        <v/>
      </c>
      <c r="K16" s="296">
        <f>ROUND(K15*K$4,2)</f>
        <v/>
      </c>
      <c r="L16" s="296">
        <f>ROUND(L15*L$4,2)</f>
        <v/>
      </c>
      <c r="M16" s="296">
        <f>ROUND(M15*M$4,2)</f>
        <v/>
      </c>
      <c r="N16" s="296">
        <f>ROUND(N15*N$4,2)</f>
        <v/>
      </c>
      <c r="O16" s="327">
        <f>SUM(C16:N16)</f>
        <v/>
      </c>
      <c r="Q16" s="86" t="n"/>
    </row>
    <row r="17" spans="1:18">
      <c r="A17" s="142" t="n"/>
      <c r="B17" s="142" t="n"/>
      <c r="C17" s="296" t="n"/>
      <c r="D17" s="296" t="n"/>
      <c r="E17" s="296" t="n"/>
      <c r="F17" s="296" t="n"/>
      <c r="G17" s="296" t="n"/>
      <c r="H17" s="296" t="n"/>
      <c r="I17" s="296" t="n"/>
      <c r="J17" s="296" t="n"/>
      <c r="K17" s="296" t="n"/>
      <c r="L17" s="296" t="n"/>
      <c r="M17" s="296" t="n"/>
      <c r="N17" s="296" t="n"/>
      <c r="O17" s="327" t="n"/>
      <c r="Q17" s="86" t="n"/>
    </row>
    <row r="18" spans="1:18">
      <c r="A18" s="142" t="s">
        <v>15</v>
      </c>
      <c r="B18" s="142" t="s">
        <v>169</v>
      </c>
      <c r="C18" s="86">
        <f>4285.22/(2974/2976)</f>
        <v/>
      </c>
      <c r="D18" s="86">
        <f>5689.83/(2975/2976)</f>
        <v/>
      </c>
      <c r="E18" s="86">
        <f>5361.76/(2879/2880)</f>
        <v/>
      </c>
      <c r="F18" s="86">
        <f>2746.013/(2964/2976)</f>
        <v/>
      </c>
      <c r="G18" s="86">
        <f>1636.415/(2876/2880)</f>
        <v/>
      </c>
      <c r="H18" s="86">
        <f>1359.769/(2706/2976)</f>
        <v/>
      </c>
      <c r="I18" s="86">
        <f>AVERAGE(235,729)</f>
        <v/>
      </c>
      <c r="J18" s="86">
        <f>1440.5931/(2688/2688)</f>
        <v/>
      </c>
      <c r="K18" s="86">
        <f>1435.763/(2237/2976)</f>
        <v/>
      </c>
      <c r="L18" s="86">
        <f>875.44/(2522/2880)</f>
        <v/>
      </c>
      <c r="M18" s="86">
        <f>2087.85/(2791/2976)</f>
        <v/>
      </c>
      <c r="N18" s="86">
        <f>3532.8/(2214/2880)</f>
        <v/>
      </c>
      <c r="O18" s="201">
        <f>SUM(C18:N18)</f>
        <v/>
      </c>
      <c r="Q18" s="86" t="n"/>
    </row>
    <row r="19" spans="1:18">
      <c r="A19" s="129" t="s">
        <v>173</v>
      </c>
      <c r="B19" s="142" t="s">
        <v>50</v>
      </c>
      <c r="C19" s="296">
        <f>ROUND(C18*C$4,2)</f>
        <v/>
      </c>
      <c r="D19" s="296">
        <f>ROUND(D18*D$4,2)</f>
        <v/>
      </c>
      <c r="E19" s="296">
        <f>ROUND(E18*E$4,2)</f>
        <v/>
      </c>
      <c r="F19" s="296">
        <f>ROUND(F18*F$4,2)</f>
        <v/>
      </c>
      <c r="G19" s="296">
        <f>ROUND(G18*G$4,2)</f>
        <v/>
      </c>
      <c r="H19" s="296">
        <f>ROUND(H18*H$4,2)</f>
        <v/>
      </c>
      <c r="I19" s="296">
        <f>ROUND(I18*I$4,2)</f>
        <v/>
      </c>
      <c r="J19" s="296">
        <f>ROUND(J18*J$4,2)</f>
        <v/>
      </c>
      <c r="K19" s="296">
        <f>ROUND(K18*K$4,2)</f>
        <v/>
      </c>
      <c r="L19" s="296">
        <f>ROUND(L18*L$4,2)</f>
        <v/>
      </c>
      <c r="M19" s="296">
        <f>ROUND(M18*M$4,2)</f>
        <v/>
      </c>
      <c r="N19" s="296">
        <f>ROUND(N18*N$4,2)</f>
        <v/>
      </c>
      <c r="O19" s="327">
        <f>SUM(C19:N19)</f>
        <v/>
      </c>
      <c r="Q19" s="86" t="n"/>
    </row>
    <row r="20" spans="1:18">
      <c r="A20" s="142" t="n"/>
      <c r="B20" s="142" t="n"/>
      <c r="C20" s="296" t="n"/>
      <c r="D20" s="296" t="n"/>
      <c r="E20" s="296" t="n"/>
      <c r="F20" s="296" t="n"/>
      <c r="G20" s="296" t="n"/>
      <c r="H20" s="296" t="n"/>
      <c r="I20" s="296" t="n"/>
      <c r="J20" s="296" t="n"/>
      <c r="K20" s="296" t="n"/>
      <c r="L20" s="296" t="n"/>
      <c r="M20" s="296" t="n"/>
      <c r="N20" s="296" t="n"/>
      <c r="O20" s="327" t="n"/>
      <c r="Q20" s="86" t="n"/>
    </row>
    <row r="21" spans="1:18">
      <c r="A21" s="142" t="s">
        <v>17</v>
      </c>
      <c r="B21" s="142" t="s">
        <v>169</v>
      </c>
      <c r="C21" s="86">
        <f>1620/(2972/2976)</f>
        <v/>
      </c>
      <c r="D21" s="86">
        <f>2531.25/(2974/2976)</f>
        <v/>
      </c>
      <c r="E21" s="86">
        <f>3083.219*(2880/2880)</f>
        <v/>
      </c>
      <c r="F21" s="86">
        <f>1741.952/(2970/2976)</f>
        <v/>
      </c>
      <c r="G21" s="86">
        <f>1012.439/(2875/2880)</f>
        <v/>
      </c>
      <c r="H21" s="86">
        <f>546.655/(2706/2976)</f>
        <v/>
      </c>
      <c r="I21" s="86">
        <f>AVERAGE(256,270)</f>
        <v/>
      </c>
      <c r="J21" s="86">
        <f>592.1828/(2688/2688)</f>
        <v/>
      </c>
      <c r="K21" s="86">
        <f>673.77/(2235/2976)</f>
        <v/>
      </c>
      <c r="L21" s="86">
        <f>699.24/(2577/2880)</f>
        <v/>
      </c>
      <c r="M21" s="86">
        <f>1378.46/(2789/2976)</f>
        <v/>
      </c>
      <c r="N21" s="86">
        <f>1044.5/(2215/2880)</f>
        <v/>
      </c>
      <c r="O21" s="201">
        <f>SUM(C21:N21)</f>
        <v/>
      </c>
      <c r="Q21" s="86" t="n"/>
    </row>
    <row r="22" spans="1:18">
      <c r="A22" s="129" t="s">
        <v>174</v>
      </c>
      <c r="B22" s="142" t="s">
        <v>50</v>
      </c>
      <c r="C22" s="296">
        <f>ROUND(C21*C$4,2)</f>
        <v/>
      </c>
      <c r="D22" s="296">
        <f>ROUND(D21*D$4,2)</f>
        <v/>
      </c>
      <c r="E22" s="296">
        <f>ROUND(E21*E$4,2)</f>
        <v/>
      </c>
      <c r="F22" s="296">
        <f>ROUND(F21*F$4,2)</f>
        <v/>
      </c>
      <c r="G22" s="296">
        <f>ROUND(G21*G$4,2)</f>
        <v/>
      </c>
      <c r="H22" s="296">
        <f>ROUND(H21*H$4,2)</f>
        <v/>
      </c>
      <c r="I22" s="296">
        <f>ROUND(I21*I$4,2)</f>
        <v/>
      </c>
      <c r="J22" s="296">
        <f>ROUND(J21*J$4,2)</f>
        <v/>
      </c>
      <c r="K22" s="296">
        <f>ROUND(K21*K$4,2)</f>
        <v/>
      </c>
      <c r="L22" s="296">
        <f>ROUND(L21*L$4,2)</f>
        <v/>
      </c>
      <c r="M22" s="296">
        <f>ROUND(M21*M$4,2)</f>
        <v/>
      </c>
      <c r="N22" s="296">
        <f>ROUND(N21*N$4,2)</f>
        <v/>
      </c>
      <c r="O22" s="327">
        <f>SUM(C22:N22)</f>
        <v/>
      </c>
      <c r="Q22" s="86" t="n"/>
    </row>
    <row r="23" spans="1:18">
      <c r="A23" s="142" t="n"/>
      <c r="B23" s="142" t="n"/>
      <c r="C23" s="296" t="n"/>
      <c r="D23" s="296" t="n"/>
      <c r="E23" s="296" t="n"/>
      <c r="F23" s="296" t="n"/>
      <c r="G23" s="296" t="n"/>
      <c r="H23" s="296" t="n"/>
      <c r="I23" s="296" t="n"/>
      <c r="J23" s="296" t="n"/>
      <c r="K23" s="296" t="n"/>
      <c r="L23" s="296" t="n"/>
      <c r="M23" s="296" t="n"/>
      <c r="N23" s="296" t="n"/>
      <c r="O23" s="327" t="n"/>
      <c r="Q23" s="86" t="n"/>
    </row>
    <row r="24" spans="1:18">
      <c r="A24" s="142" t="s">
        <v>94</v>
      </c>
      <c r="B24" s="142" t="s">
        <v>169</v>
      </c>
      <c r="C24" s="86">
        <f>19442.64/(2256/2976)</f>
        <v/>
      </c>
      <c r="D24" s="86">
        <f>26366.95/(2967/2976)</f>
        <v/>
      </c>
      <c r="E24" s="86">
        <f>23604.691/(2879/2880)</f>
        <v/>
      </c>
      <c r="F24" s="86">
        <f>19661.828/(2963/2976)</f>
        <v/>
      </c>
      <c r="G24" s="86">
        <f>9061.449/(1400/2880)</f>
        <v/>
      </c>
      <c r="H24" s="86">
        <f>1109.034/(2656/2976)</f>
        <v/>
      </c>
      <c r="I24" s="86">
        <f>AVERAGE(849, 5440)</f>
        <v/>
      </c>
      <c r="J24" s="86">
        <f>1120.3726/(2688/2688)</f>
        <v/>
      </c>
      <c r="K24" s="86">
        <f>804.884/(2236/2976)</f>
        <v/>
      </c>
      <c r="L24" s="86">
        <f>5575.88/(2639/2880)</f>
        <v/>
      </c>
      <c r="M24" s="86">
        <f>8748.505/(2789/2976)</f>
        <v/>
      </c>
      <c r="N24" s="86">
        <f>1777.8/(457/2880)</f>
        <v/>
      </c>
      <c r="O24" s="201">
        <f>SUM(C24:N24)</f>
        <v/>
      </c>
      <c r="Q24" s="86" t="n"/>
    </row>
    <row r="25" spans="1:18">
      <c r="A25" s="129" t="s">
        <v>175</v>
      </c>
      <c r="B25" s="142" t="s">
        <v>50</v>
      </c>
      <c r="C25" s="296">
        <f>ROUND(C24*C$4,2)</f>
        <v/>
      </c>
      <c r="D25" s="296">
        <f>ROUND(D24*D$4,2)</f>
        <v/>
      </c>
      <c r="E25" s="296">
        <f>ROUND(E24*E$4,2)</f>
        <v/>
      </c>
      <c r="F25" s="296">
        <f>ROUND(F24*F$4,2)</f>
        <v/>
      </c>
      <c r="G25" s="296">
        <f>ROUND(G24*G$4,2)</f>
        <v/>
      </c>
      <c r="H25" s="296">
        <f>ROUND(H24*H$4,2)</f>
        <v/>
      </c>
      <c r="I25" s="296">
        <f>ROUND(I24*I$4,2)</f>
        <v/>
      </c>
      <c r="J25" s="296">
        <f>ROUND(J24*J$4,2)</f>
        <v/>
      </c>
      <c r="K25" s="296">
        <f>ROUND(K24*K$4,2)</f>
        <v/>
      </c>
      <c r="L25" s="296">
        <f>ROUND(L24*L$4,2)</f>
        <v/>
      </c>
      <c r="M25" s="296">
        <f>ROUND(M24*M$4,2)</f>
        <v/>
      </c>
      <c r="N25" s="296">
        <f>ROUND(N24*N$4,2)</f>
        <v/>
      </c>
      <c r="O25" s="327">
        <f>SUM(C25:N25)</f>
        <v/>
      </c>
      <c r="Q25" s="86" t="n"/>
    </row>
    <row r="26" spans="1:18">
      <c r="A26" s="142" t="n"/>
      <c r="B26" s="142" t="n"/>
      <c r="C26" s="142" t="n"/>
      <c r="D26" s="142" t="n"/>
      <c r="E26" s="142" t="n"/>
      <c r="F26" s="142" t="n"/>
      <c r="G26" s="142" t="n"/>
      <c r="H26" s="86" t="n"/>
      <c r="I26" s="86" t="n"/>
      <c r="J26" s="142" t="n"/>
      <c r="K26" s="142" t="n"/>
      <c r="L26" s="142" t="n"/>
      <c r="M26" s="142" t="n"/>
      <c r="N26" s="142" t="n"/>
      <c r="O26" s="198" t="n"/>
      <c r="Q26" s="86" t="n"/>
    </row>
    <row r="27" spans="1:18">
      <c r="A27" s="142" t="s">
        <v>95</v>
      </c>
      <c r="B27" s="142" t="s">
        <v>169</v>
      </c>
      <c r="C27" s="86">
        <f>2311.67/(2973/2976)</f>
        <v/>
      </c>
      <c r="D27" s="86">
        <f>5563.086/(2972/2976)</f>
        <v/>
      </c>
      <c r="E27" s="86">
        <f>3391.72/(2877/2880)</f>
        <v/>
      </c>
      <c r="F27" s="86">
        <f>2152.334/(2966/2976)</f>
        <v/>
      </c>
      <c r="G27" s="86">
        <f>1775.499/(2876/2880)</f>
        <v/>
      </c>
      <c r="H27" s="86">
        <f>901.776/(2694/2976)</f>
        <v/>
      </c>
      <c r="I27" s="86">
        <f>AVERAGE(406,217)</f>
        <v/>
      </c>
      <c r="J27" s="86">
        <f>373.628/(2688/2688)</f>
        <v/>
      </c>
      <c r="K27" s="86">
        <f>632.445/(2192/2976)</f>
        <v/>
      </c>
      <c r="L27" s="86">
        <f>1271/(2676/2880)</f>
        <v/>
      </c>
      <c r="M27" s="86">
        <f>1159.88/(2785/2976)</f>
        <v/>
      </c>
      <c r="N27" s="86">
        <f>1719.2/(2214/2880)</f>
        <v/>
      </c>
      <c r="O27" s="201">
        <f>SUM(C27:N27)</f>
        <v/>
      </c>
      <c r="Q27" s="86" t="n"/>
    </row>
    <row r="28" spans="1:18">
      <c r="A28" s="129" t="s">
        <v>176</v>
      </c>
      <c r="B28" s="142" t="s">
        <v>50</v>
      </c>
      <c r="C28" s="296">
        <f>ROUND(C27*C$4,2)</f>
        <v/>
      </c>
      <c r="D28" s="296">
        <f>ROUND(D27*D$4,2)</f>
        <v/>
      </c>
      <c r="E28" s="296">
        <f>ROUND(E27*E$4,2)</f>
        <v/>
      </c>
      <c r="F28" s="296">
        <f>ROUND(F27*F$4,2)</f>
        <v/>
      </c>
      <c r="G28" s="296">
        <f>ROUND(G27*G$4,2)</f>
        <v/>
      </c>
      <c r="H28" s="296">
        <f>ROUND(H27*H$4,2)</f>
        <v/>
      </c>
      <c r="I28" s="296">
        <f>ROUND(I27*I$4,2)</f>
        <v/>
      </c>
      <c r="J28" s="296">
        <f>ROUND(J27*J$4,2)</f>
        <v/>
      </c>
      <c r="K28" s="296">
        <f>ROUND(K27*K$4,2)</f>
        <v/>
      </c>
      <c r="L28" s="296">
        <f>ROUND(L27*L$4,2)</f>
        <v/>
      </c>
      <c r="M28" s="296">
        <f>ROUND(M27*M$4,2)</f>
        <v/>
      </c>
      <c r="N28" s="296">
        <f>ROUND(N27*N$4,2)</f>
        <v/>
      </c>
      <c r="O28" s="327">
        <f>SUM(C28:N28)</f>
        <v/>
      </c>
      <c r="Q28" s="86" t="n"/>
    </row>
    <row r="29" spans="1:18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327" t="n"/>
      <c r="Q29" s="86" t="n"/>
    </row>
    <row r="30" spans="1:18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N30" s="142" t="n"/>
      <c r="O30" s="198" t="n"/>
      <c r="Q30" s="86" t="n"/>
    </row>
    <row r="31" spans="1:18">
      <c r="A31" s="142" t="s">
        <v>21</v>
      </c>
      <c r="B31" s="142" t="s">
        <v>169</v>
      </c>
      <c r="C31" s="86">
        <f>4795.446/(2975/2976)</f>
        <v/>
      </c>
      <c r="D31" s="86">
        <f>5545.2/(2944/2976)</f>
        <v/>
      </c>
      <c r="E31" s="86">
        <f>6023.054/(2880/2880)</f>
        <v/>
      </c>
      <c r="F31" s="86">
        <f>3209.795/(2959/2976)</f>
        <v/>
      </c>
      <c r="G31" s="86">
        <f>2039.478/(2875/2880)</f>
        <v/>
      </c>
      <c r="H31" s="86">
        <f>2024.773/(2705/2976)</f>
        <v/>
      </c>
      <c r="I31" s="86">
        <f>AVERAGE(411,977)</f>
        <v/>
      </c>
      <c r="J31" s="86">
        <f>3444.4536/(2688/2688)</f>
        <v/>
      </c>
      <c r="K31" s="86">
        <f>2122.867/(2236/2976)</f>
        <v/>
      </c>
      <c r="L31" s="86">
        <f>3092.14/(2578/2880)</f>
        <v/>
      </c>
      <c r="M31" s="86">
        <f>3081.206/(2790/2976)</f>
        <v/>
      </c>
      <c r="N31" s="86">
        <f>3932.9/(2153/2880)</f>
        <v/>
      </c>
      <c r="O31" s="201">
        <f>SUM(C31:N31)</f>
        <v/>
      </c>
      <c r="Q31" s="86" t="n"/>
    </row>
    <row r="32" spans="1:18">
      <c r="A32" s="129" t="s">
        <v>177</v>
      </c>
      <c r="B32" s="142" t="s">
        <v>50</v>
      </c>
      <c r="C32" s="296">
        <f>ROUND(C31*C$4,2)</f>
        <v/>
      </c>
      <c r="D32" s="296">
        <f>ROUND(D31*D$4,2)</f>
        <v/>
      </c>
      <c r="E32" s="296">
        <f>ROUND(E31*E$4,2)</f>
        <v/>
      </c>
      <c r="F32" s="296">
        <f>ROUND(F31*F$4,2)</f>
        <v/>
      </c>
      <c r="G32" s="296">
        <f>ROUND(G31*G$4,2)</f>
        <v/>
      </c>
      <c r="H32" s="296">
        <f>ROUND(H31*H$4,2)</f>
        <v/>
      </c>
      <c r="I32" s="296">
        <f>ROUND(I31*I$4,2)</f>
        <v/>
      </c>
      <c r="J32" s="296">
        <f>ROUND(J31*J$4,2)</f>
        <v/>
      </c>
      <c r="K32" s="296">
        <f>ROUND(K31*K$4,2)</f>
        <v/>
      </c>
      <c r="L32" s="296">
        <f>ROUND(L31*L$4,2)</f>
        <v/>
      </c>
      <c r="M32" s="296">
        <f>ROUND(M31*M$4,2)</f>
        <v/>
      </c>
      <c r="N32" s="296">
        <f>ROUND(N31*N$4,2)</f>
        <v/>
      </c>
      <c r="O32" s="327">
        <f>SUM(C32:N32)</f>
        <v/>
      </c>
      <c r="Q32" s="86" t="n"/>
    </row>
    <row r="33" spans="1:18">
      <c r="A33" s="142" t="n"/>
      <c r="B33" s="142" t="n"/>
      <c r="C33" s="142" t="n"/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42" t="n"/>
      <c r="N33" s="142" t="n"/>
      <c r="O33" s="198" t="n"/>
      <c r="Q33" s="86" t="n"/>
    </row>
    <row r="34" spans="1:18">
      <c r="A34" s="142" t="s">
        <v>96</v>
      </c>
      <c r="B34" s="142" t="s">
        <v>169</v>
      </c>
      <c r="C34" s="86">
        <f>2720.93/(2974/2976)</f>
        <v/>
      </c>
      <c r="D34" s="86">
        <f>3904.12/(2975/2976)</f>
        <v/>
      </c>
      <c r="E34" s="86">
        <f>4342.08/(2877/2880)</f>
        <v/>
      </c>
      <c r="F34" s="86">
        <f>2008.412/(2954/2976)</f>
        <v/>
      </c>
      <c r="G34" s="86">
        <f>1638.584/(2816/2880)</f>
        <v/>
      </c>
      <c r="H34" s="86">
        <f>739.988/(2706/2976)</f>
        <v/>
      </c>
      <c r="I34" s="86">
        <f>AVERAGE(63, 413)</f>
        <v/>
      </c>
      <c r="J34" s="209">
        <f>1121.2353/(2688/2688)</f>
        <v/>
      </c>
      <c r="K34" s="86">
        <f>1042.735/(2243/2976)</f>
        <v/>
      </c>
      <c r="L34" s="86">
        <f>1117.425/(2663/2880)</f>
        <v/>
      </c>
      <c r="M34" s="86">
        <f>3081.206/(2790/2976)</f>
        <v/>
      </c>
      <c r="N34" s="86">
        <f>2221.5/(2214/2880)</f>
        <v/>
      </c>
      <c r="O34" s="201">
        <f>SUM(C34:N34)</f>
        <v/>
      </c>
      <c r="Q34" s="86" t="n"/>
    </row>
    <row r="35" spans="1:18">
      <c r="A35" s="129" t="s">
        <v>178</v>
      </c>
      <c r="B35" s="142" t="s">
        <v>50</v>
      </c>
      <c r="C35" s="296">
        <f>ROUND(C34*C$4,2)</f>
        <v/>
      </c>
      <c r="D35" s="296">
        <f>ROUND(D34*D$4,2)</f>
        <v/>
      </c>
      <c r="E35" s="296">
        <f>ROUND(E34*E$4,2)</f>
        <v/>
      </c>
      <c r="F35" s="296">
        <f>ROUND(F34*F$4,2)</f>
        <v/>
      </c>
      <c r="G35" s="296">
        <f>ROUND(G34*G$4,2)</f>
        <v/>
      </c>
      <c r="H35" s="296">
        <f>ROUND(H34*H$4,2)</f>
        <v/>
      </c>
      <c r="I35" s="296">
        <f>ROUND(I34*I$4,2)</f>
        <v/>
      </c>
      <c r="J35" s="296">
        <f>ROUND(J34*J$4,2)</f>
        <v/>
      </c>
      <c r="K35" s="296">
        <f>ROUND(K34*K$4,2)</f>
        <v/>
      </c>
      <c r="L35" s="296">
        <f>ROUND(L34*L$4,2)</f>
        <v/>
      </c>
      <c r="M35" s="296">
        <f>ROUND(M34*M$4,2)</f>
        <v/>
      </c>
      <c r="N35" s="296">
        <f>ROUND(N34*N$4,2)</f>
        <v/>
      </c>
      <c r="O35" s="327">
        <f>SUM(C35:N35)</f>
        <v/>
      </c>
      <c r="Q35" s="86" t="n"/>
    </row>
    <row r="36" spans="1:18">
      <c r="A36" s="142" t="n"/>
      <c r="B36" s="142" t="n"/>
      <c r="D36" s="142" t="n"/>
      <c r="E36" s="142" t="n"/>
      <c r="F36" s="142" t="n"/>
      <c r="G36" s="142" t="n"/>
      <c r="H36" s="142" t="n"/>
      <c r="I36" s="142" t="n"/>
      <c r="J36" s="142" t="n"/>
      <c r="K36" s="142" t="n"/>
      <c r="L36" s="142" t="n"/>
      <c r="M36" s="142" t="n"/>
      <c r="N36" s="142" t="n"/>
      <c r="O36" s="327" t="n"/>
      <c r="Q36" s="86" t="n"/>
    </row>
    <row r="37" spans="1:18">
      <c r="A37" s="142" t="s">
        <v>53</v>
      </c>
      <c r="B37" s="142" t="s">
        <v>169</v>
      </c>
      <c r="C37" s="86">
        <f>24991.57/(2940/2976)</f>
        <v/>
      </c>
      <c r="D37" s="86">
        <f>32665.07/(2953/2976)</f>
        <v/>
      </c>
      <c r="E37" s="86">
        <f>30405.171/(2828/2880)</f>
        <v/>
      </c>
      <c r="F37" s="86">
        <f>14162.438/(2796/2976)</f>
        <v/>
      </c>
      <c r="G37" s="86">
        <f>3858.853/(1738/2880)</f>
        <v/>
      </c>
      <c r="H37" s="86">
        <f>(1495+7395)/2</f>
        <v/>
      </c>
      <c r="I37" s="86">
        <f>AVERAGE(4163,562)</f>
        <v/>
      </c>
      <c r="J37" s="86">
        <f>2549.25749/(2366/2688)</f>
        <v/>
      </c>
      <c r="K37" s="86">
        <f>4474.4/(2224/2976)</f>
        <v/>
      </c>
      <c r="L37" s="86">
        <f>8254.52/(1908/2880)</f>
        <v/>
      </c>
      <c r="M37" s="86">
        <f>11779.66/(2427/2976)</f>
        <v/>
      </c>
      <c r="N37" s="86">
        <f>11298.95/(1581/2880)</f>
        <v/>
      </c>
      <c r="O37" s="201">
        <f>SUM(C37:N37)</f>
        <v/>
      </c>
      <c r="Q37" s="86" t="n"/>
    </row>
    <row r="38" spans="1:18">
      <c r="A38" s="129" t="s">
        <v>179</v>
      </c>
      <c r="B38" s="142" t="s">
        <v>50</v>
      </c>
      <c r="C38" s="296">
        <f>ROUND(C37*C$4,2)</f>
        <v/>
      </c>
      <c r="D38" s="296">
        <f>ROUND(D37*D$4,2)</f>
        <v/>
      </c>
      <c r="E38" s="296">
        <f>ROUND(E37*E$4,2)</f>
        <v/>
      </c>
      <c r="F38" s="296">
        <f>ROUND(F37*F$4,2)</f>
        <v/>
      </c>
      <c r="G38" s="296">
        <f>ROUND(G37*G$4,2)</f>
        <v/>
      </c>
      <c r="H38" s="296">
        <f>ROUND(H37*H$4,2)</f>
        <v/>
      </c>
      <c r="I38" s="296">
        <f>ROUND(I37*I$4,2)</f>
        <v/>
      </c>
      <c r="J38" s="296">
        <f>ROUND(J37*J$4,2)</f>
        <v/>
      </c>
      <c r="K38" s="296">
        <f>ROUND(K37*K$4,2)</f>
        <v/>
      </c>
      <c r="L38" s="296">
        <f>ROUND(L37*L$4,2)</f>
        <v/>
      </c>
      <c r="M38" s="296">
        <f>ROUND(M37*M$4,2)</f>
        <v/>
      </c>
      <c r="N38" s="296">
        <f>ROUND(N37*N$4,2)</f>
        <v/>
      </c>
      <c r="O38" s="327">
        <f>SUM(C38:N38)</f>
        <v/>
      </c>
      <c r="Q38" s="86" t="n"/>
    </row>
    <row r="39" spans="1:18">
      <c r="A39" s="129" t="n"/>
      <c r="B39" s="142" t="n"/>
      <c r="C39" s="290" t="n"/>
      <c r="D39" s="290" t="n"/>
      <c r="E39" s="290" t="n"/>
      <c r="F39" s="290" t="n"/>
      <c r="G39" s="290" t="n"/>
      <c r="H39" s="290" t="n"/>
      <c r="I39" s="290" t="n"/>
      <c r="J39" s="290" t="n"/>
      <c r="K39" s="290" t="n"/>
      <c r="L39" s="290" t="n"/>
      <c r="M39" s="290" t="n"/>
      <c r="N39" s="290" t="n"/>
      <c r="O39" s="327" t="n"/>
      <c r="Q39" s="86" t="n"/>
    </row>
    <row r="40" spans="1:18">
      <c r="A40" s="142" t="s">
        <v>25</v>
      </c>
      <c r="B40" s="142" t="s">
        <v>169</v>
      </c>
      <c r="C40" s="86">
        <f>12870.31/(2976/2976)</f>
        <v/>
      </c>
      <c r="D40" s="86">
        <f>17405.02/(2975/2976)</f>
        <v/>
      </c>
      <c r="E40" s="252">
        <f>14832.79/(2880/2880)</f>
        <v/>
      </c>
      <c r="F40" s="209">
        <f>6319.311/(2968/2976)</f>
        <v/>
      </c>
      <c r="G40" s="209">
        <f>1692.6198/(2876/2880)</f>
        <v/>
      </c>
      <c r="H40" s="209">
        <f>605.884/(2976/2976)</f>
        <v/>
      </c>
      <c r="I40" s="209">
        <f>727.363/(2976/2976)</f>
        <v/>
      </c>
      <c r="J40" s="209">
        <f>4727.4/(2400/2688)</f>
        <v/>
      </c>
      <c r="K40" s="209">
        <f>1673.704/(2210/2976)</f>
        <v/>
      </c>
      <c r="L40" s="209">
        <f>4996.9/(2814/2880)</f>
        <v/>
      </c>
      <c r="M40" s="209">
        <f>4414.31/(2882/2976)</f>
        <v/>
      </c>
      <c r="N40" s="209">
        <f>1223.9/(659/2880)</f>
        <v/>
      </c>
      <c r="O40" s="201">
        <f>SUM(C40:N40)</f>
        <v/>
      </c>
      <c r="Q40" s="86" t="n"/>
    </row>
    <row r="41" spans="1:18">
      <c r="A41" s="142" t="s">
        <v>26</v>
      </c>
      <c r="B41" s="142" t="s">
        <v>50</v>
      </c>
      <c r="C41" s="296">
        <f>ROUND(C40*C$4,2)</f>
        <v/>
      </c>
      <c r="D41" s="296">
        <f>ROUND(D40*D$4,2)</f>
        <v/>
      </c>
      <c r="E41" s="296">
        <f>ROUND(E40*E$4,2)</f>
        <v/>
      </c>
      <c r="F41" s="296">
        <f>ROUND(F40*F$4,2)</f>
        <v/>
      </c>
      <c r="G41" s="296">
        <f>ROUND(G40*G$4,2)</f>
        <v/>
      </c>
      <c r="H41" s="296">
        <f>ROUND(H40*H$4,2)</f>
        <v/>
      </c>
      <c r="I41" s="296">
        <f>ROUND(I40*I$4,2)</f>
        <v/>
      </c>
      <c r="J41" s="296">
        <f>ROUND(J40*J$4,2)</f>
        <v/>
      </c>
      <c r="K41" s="296">
        <f>ROUND(K40*K$4,2)</f>
        <v/>
      </c>
      <c r="L41" s="296">
        <f>ROUND(L40*L$4,2)</f>
        <v/>
      </c>
      <c r="M41" s="296">
        <f>ROUND(M40*M$4,2)</f>
        <v/>
      </c>
      <c r="N41" s="296">
        <f>ROUND(N40*N$4,2)</f>
        <v/>
      </c>
      <c r="O41" s="363">
        <f>SUM(C41:N41)</f>
        <v/>
      </c>
      <c r="Q41" s="86" t="n"/>
    </row>
    <row r="42" spans="1:18">
      <c r="A42" s="129" t="s">
        <v>180</v>
      </c>
      <c r="B42" s="142" t="n"/>
      <c r="C42" s="296" t="n"/>
      <c r="D42" s="296" t="n"/>
      <c r="E42" s="296" t="n"/>
      <c r="F42" s="296" t="n"/>
      <c r="G42" s="296" t="n"/>
      <c r="H42" s="296" t="n"/>
      <c r="I42" s="296" t="n"/>
      <c r="J42" s="296" t="n"/>
      <c r="K42" s="296" t="n"/>
      <c r="L42" s="296" t="n"/>
      <c r="M42" s="296" t="n"/>
      <c r="N42" s="296" t="n"/>
      <c r="O42" s="327" t="n"/>
      <c r="Q42" s="86" t="n"/>
    </row>
    <row r="43" spans="1:18">
      <c r="A43" s="142" t="s">
        <v>27</v>
      </c>
      <c r="B43" s="142" t="s">
        <v>169</v>
      </c>
      <c r="C43" s="86">
        <f>11779.26/(2601/2976)</f>
        <v/>
      </c>
      <c r="D43" s="86">
        <f>18186.92/(2976/2976)</f>
        <v/>
      </c>
      <c r="E43" s="86">
        <f>16093.697/(2708/2880)</f>
        <v/>
      </c>
      <c r="F43" s="209">
        <f>8357.74/(2970/2976)</f>
        <v/>
      </c>
      <c r="G43" s="209">
        <f>5039.603/(2879/2880)</f>
        <v/>
      </c>
      <c r="H43" s="209">
        <f>2338.682/(2976/2976)</f>
        <v/>
      </c>
      <c r="I43" s="209">
        <f>2479.737/(2976/2976)</f>
        <v/>
      </c>
      <c r="J43" s="209">
        <f>2903.63395/(2688/2688)</f>
        <v/>
      </c>
      <c r="K43" s="209">
        <f>2501.5/(2229/2976)</f>
        <v/>
      </c>
      <c r="L43" s="209">
        <f>3847.623/(1695/2880)</f>
        <v/>
      </c>
      <c r="M43" s="209">
        <f>6004.19/(2875/2976)</f>
        <v/>
      </c>
      <c r="N43" s="209">
        <f>5618.2/(1755/2880)</f>
        <v/>
      </c>
      <c r="O43" s="201">
        <f>SUM(C43:N43)</f>
        <v/>
      </c>
      <c r="Q43" s="86" t="n"/>
    </row>
    <row customFormat="1" customHeight="1" ht="11.25" r="44" s="142" spans="1:18">
      <c r="A44" s="142" t="s">
        <v>28</v>
      </c>
      <c r="B44" s="142" t="s">
        <v>50</v>
      </c>
      <c r="C44" s="296">
        <f>ROUND(C43*C$4,2)</f>
        <v/>
      </c>
      <c r="D44" s="296">
        <f>ROUND(D43*D$4,2)</f>
        <v/>
      </c>
      <c r="E44" s="296">
        <f>ROUND(E43*E$4,2)</f>
        <v/>
      </c>
      <c r="F44" s="296">
        <f>ROUND(F43*F$4,2)</f>
        <v/>
      </c>
      <c r="G44" s="296">
        <f>ROUND(G43*G$4,2)</f>
        <v/>
      </c>
      <c r="H44" s="296">
        <f>ROUND(H43*H$4,2)</f>
        <v/>
      </c>
      <c r="I44" s="296">
        <f>ROUND(I43*I$4,2)</f>
        <v/>
      </c>
      <c r="J44" s="296">
        <f>ROUND(J43*J$4,2)</f>
        <v/>
      </c>
      <c r="K44" s="296">
        <f>ROUND(K43*K$4,2)</f>
        <v/>
      </c>
      <c r="L44" s="296">
        <f>ROUND(L43*L$4,2)</f>
        <v/>
      </c>
      <c r="M44" s="296">
        <f>ROUND(M43*M$4,2)</f>
        <v/>
      </c>
      <c r="N44" s="296">
        <f>ROUND(N43*N$4,2)</f>
        <v/>
      </c>
      <c r="O44" s="363">
        <f>SUM(C44:N44)</f>
        <v/>
      </c>
      <c r="Q44" s="86" t="n"/>
    </row>
    <row customFormat="1" customHeight="1" ht="11.25" r="45" s="142" spans="1:18">
      <c r="A45" s="129" t="s">
        <v>181</v>
      </c>
      <c r="B45" s="142" t="n"/>
      <c r="C45" s="296" t="n"/>
      <c r="D45" s="296" t="n"/>
      <c r="E45" s="296" t="n"/>
      <c r="F45" s="296" t="n"/>
      <c r="G45" s="296" t="n"/>
      <c r="H45" s="296" t="n"/>
      <c r="I45" s="296" t="n"/>
      <c r="J45" s="296" t="n"/>
      <c r="K45" s="296" t="n"/>
      <c r="L45" s="296" t="n"/>
      <c r="M45" s="296" t="n"/>
      <c r="N45" s="296" t="n"/>
      <c r="O45" s="327" t="n"/>
      <c r="Q45" s="86" t="n"/>
    </row>
    <row customFormat="1" customHeight="1" ht="11.25" r="46" s="142" spans="1:18">
      <c r="A46" s="142" t="s">
        <v>29</v>
      </c>
      <c r="B46" s="142" t="s">
        <v>169</v>
      </c>
      <c r="C46" s="86">
        <f>41880.06/(2818/2976)</f>
        <v/>
      </c>
      <c r="D46" s="86">
        <f>47244.88/(2976/2976)</f>
        <v/>
      </c>
      <c r="E46" s="86">
        <f>42013.59/(2880/2880)</f>
        <v/>
      </c>
      <c r="F46" s="209">
        <f>21542.644/(2970/2976)</f>
        <v/>
      </c>
      <c r="G46" s="209">
        <f>9430.432/(2879/2880)</f>
        <v/>
      </c>
      <c r="H46" s="209">
        <f>2476.523/(2976/2976)</f>
        <v/>
      </c>
      <c r="I46" s="209">
        <f>2105.42/(2976/2976)</f>
        <v/>
      </c>
      <c r="J46" s="209">
        <f>1008.806/(2687/2688)</f>
        <v/>
      </c>
      <c r="K46" s="209">
        <f>9658.122/(2352/2976)</f>
        <v/>
      </c>
      <c r="L46" s="209">
        <f>12119.5/(2809/2880)</f>
        <v/>
      </c>
      <c r="M46" s="209">
        <f>17341.438/(2069/2976)</f>
        <v/>
      </c>
      <c r="N46" s="209">
        <f>22074.6/(2320/2880)</f>
        <v/>
      </c>
      <c r="O46" s="201">
        <f>SUM(C46:N46)</f>
        <v/>
      </c>
    </row>
    <row customFormat="1" customHeight="1" ht="11.25" r="47" s="142" spans="1:18">
      <c r="A47" s="142" t="n"/>
      <c r="B47" s="142" t="s">
        <v>50</v>
      </c>
      <c r="C47" s="296">
        <f>ROUND(C46*C$4,2)</f>
        <v/>
      </c>
      <c r="D47" s="296">
        <f>ROUND(D46*D$4,2)</f>
        <v/>
      </c>
      <c r="E47" s="296">
        <f>ROUND(E46*E$4,2)</f>
        <v/>
      </c>
      <c r="F47" s="296">
        <f>ROUND(F46*F$4,2)</f>
        <v/>
      </c>
      <c r="G47" s="296">
        <f>ROUND(G46*G$4,2)</f>
        <v/>
      </c>
      <c r="H47" s="296">
        <f>ROUND(H46*H$4,2)</f>
        <v/>
      </c>
      <c r="I47" s="296">
        <f>ROUND(I46*I$4,2)</f>
        <v/>
      </c>
      <c r="J47" s="296">
        <f>ROUND(J46*J$4,2)</f>
        <v/>
      </c>
      <c r="K47" s="296">
        <f>ROUND(K46*K$4,2)</f>
        <v/>
      </c>
      <c r="L47" s="296">
        <f>ROUND(L46*L$4,2)</f>
        <v/>
      </c>
      <c r="M47" s="296">
        <f>ROUND(M46*M$4,2)</f>
        <v/>
      </c>
      <c r="N47" s="296">
        <f>ROUND(N46*N$4,2)</f>
        <v/>
      </c>
      <c r="O47" s="363">
        <f>SUM(C47:N47)</f>
        <v/>
      </c>
    </row>
    <row customFormat="1" customHeight="1" ht="11.25" r="48" s="142" spans="1:18">
      <c r="A48" s="129" t="n"/>
      <c r="B48" s="142" t="n"/>
      <c r="C48" s="296" t="n"/>
      <c r="D48" s="296" t="n"/>
      <c r="E48" s="296" t="n"/>
      <c r="F48" s="296" t="n"/>
      <c r="G48" s="296" t="n"/>
      <c r="H48" s="296" t="n"/>
      <c r="I48" s="296" t="n"/>
      <c r="J48" s="296" t="n"/>
      <c r="K48" s="296" t="n"/>
      <c r="L48" s="296" t="n"/>
      <c r="M48" s="296" t="n"/>
      <c r="N48" s="296" t="n"/>
      <c r="O48" s="327" t="n"/>
    </row>
    <row customFormat="1" customHeight="1" ht="11.25" r="49" s="142" spans="1:18">
      <c r="A49" s="129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327" t="n"/>
    </row>
    <row customFormat="1" r="50" s="142" spans="1:18">
      <c r="A50" s="98" t="n"/>
      <c r="B50" s="98" t="n"/>
      <c r="C50" s="98" t="n"/>
      <c r="D50" s="98" t="n"/>
      <c r="E50" s="98" t="n"/>
      <c r="F50" s="98" t="n"/>
      <c r="G50" s="98" t="n"/>
      <c r="H50" s="98" t="n"/>
      <c r="I50" s="98" t="n"/>
      <c r="J50" s="98" t="n"/>
      <c r="K50" s="98" t="n"/>
      <c r="L50" s="98" t="n"/>
      <c r="M50" s="98" t="n"/>
      <c r="N50" s="98" t="n"/>
      <c r="O50" s="204" t="n"/>
    </row>
    <row customFormat="1" customHeight="1" ht="11.25" r="51" s="142" spans="1:18">
      <c r="A51" s="142" t="s">
        <v>182</v>
      </c>
      <c r="B51" s="189" t="n"/>
      <c r="C51" s="86">
        <f>C6+C46+C9+C12+C15+C18+C21+C24+C27+C31+C34+C37+C40+C43</f>
        <v/>
      </c>
      <c r="D51" s="86">
        <f>D6+D46+D9+D12+D15+D18+D21+D24+D27+D31+D34+D37+D40+D43</f>
        <v/>
      </c>
      <c r="E51" s="86">
        <f>E6+E46+E9+E12+E15+E18+E21+E24+E27+E31+E34+E37+E40+E43</f>
        <v/>
      </c>
      <c r="F51" s="86">
        <f>F6+F46+F9+F12+F15+F18+F21+F24+F27+F31+F34+F37+F40+F43</f>
        <v/>
      </c>
      <c r="G51" s="86">
        <f>G6+G46+G9+G12+G15+G18+G21+G24+G27+G31+G34+G37+G40+G43</f>
        <v/>
      </c>
      <c r="H51" s="86">
        <f>H6+H46+H9+H12+H15+H18+H21+H24+H27+H31+H34+H37+H40+H43</f>
        <v/>
      </c>
      <c r="I51" s="86">
        <f>I6+I46+I9+I12+I15+I18+I21+I24+I27+I31+I34+I37+I40+I43</f>
        <v/>
      </c>
      <c r="J51" s="86">
        <f>J6+J46+J9+J12+J15+J18+J21+J24+J27+J31+J34+J37+J40+J43</f>
        <v/>
      </c>
      <c r="K51" s="86">
        <f>K6+K46+K9+K12+K15+K18+K21+K24+K27+K31+K34+K37+K40+K43</f>
        <v/>
      </c>
      <c r="L51" s="86">
        <f>L6+L46+L9+L12+L15+L18+L21+L24+L27+L31+L34+L37+L40+L43</f>
        <v/>
      </c>
      <c r="M51" s="86">
        <f>M6+M46+M9+M12+M15+M18+M21+M24+M27+M31+M34+M37+M40+M43</f>
        <v/>
      </c>
      <c r="N51" s="86">
        <f>N6+N46+N9+N12+N15+N18+N21+N24+N27+N31+N34+N37+N40+N43</f>
        <v/>
      </c>
      <c r="O51" s="201">
        <f>O6+O9+O12+O15+O18+O21+O24+O27+O31+O34+O37+O40+O43+O46</f>
        <v/>
      </c>
      <c r="P51" s="146">
        <f>SUM(C51:N51)</f>
        <v/>
      </c>
    </row>
    <row customFormat="1" customHeight="1" ht="11.25" r="52" s="142" spans="1:18">
      <c r="A52" s="142" t="s">
        <v>68</v>
      </c>
      <c r="C52" s="296">
        <f>C7+C10+C47+C13+C16+C19+C22+C25+C28+C32+C35+C38+C41+C44</f>
        <v/>
      </c>
      <c r="D52" s="296">
        <f>D7+D10+D47+D13+D16+D19+D22+D25+D28+D32+D35+D38+D41+D44</f>
        <v/>
      </c>
      <c r="E52" s="296">
        <f>E7+E10+E47+E13+E16+E19+E22+E25+E28+E32+E35+E38+E41+E44</f>
        <v/>
      </c>
      <c r="F52" s="296">
        <f>F7+F10+F47+F13+F16+F19+F22+F25+F28+F32+F35+F38+F41+F44</f>
        <v/>
      </c>
      <c r="G52" s="296">
        <f>G7+G10+G47+G13+G16+G19+G22+G25+G28+G32+G35+G38+G41+G44</f>
        <v/>
      </c>
      <c r="H52" s="296">
        <f>H7+H10+H47+H13+H16+H19+H22+H25+H28+H32+H35+H38+H41+H44</f>
        <v/>
      </c>
      <c r="I52" s="296">
        <f>I7+I10+I47+I13+I16+I19+I22+I25+I28+I32+I35+I38+I41+I44</f>
        <v/>
      </c>
      <c r="J52" s="296">
        <f>J7+J10+J47+J13+J16+J19+J22+J25+J28+J32+J35+J38+J41+J44</f>
        <v/>
      </c>
      <c r="K52" s="296">
        <f>K7+K10+K47+K13+K16+K19+K22+K25+K28+K32+K35+K38+K41+K44</f>
        <v/>
      </c>
      <c r="L52" s="296">
        <f>L7+L10+L47+L13+L16+L19+L22+L25+L28+L32+L35+L38+L41+L44</f>
        <v/>
      </c>
      <c r="M52" s="296">
        <f>M7+M10+M47+M13+M16+M19+M22+M25+M28+M32+M35+M38+M41+M44</f>
        <v/>
      </c>
      <c r="N52" s="296">
        <f>N7+N10+N47+N13+N16+N19+N22+N25+N28+N32+N35+N38+N41+N44</f>
        <v/>
      </c>
      <c r="O52" s="327">
        <f>O7+O10+O13+O16+O19+O22+O25+O28+O32+O35+O38+O41+O44+O47</f>
        <v/>
      </c>
      <c r="P52" s="296">
        <f>SUM(C52:N52)</f>
        <v/>
      </c>
    </row>
    <row r="54" spans="1:18">
      <c r="A54" s="8" t="s">
        <v>34</v>
      </c>
    </row>
    <row customFormat="1" r="55" s="104" spans="1:18">
      <c r="A55" s="49" t="s">
        <v>183</v>
      </c>
      <c r="B55" s="142" t="n"/>
      <c r="C55" s="142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P55" s="104" t="n"/>
    </row>
    <row customFormat="1" r="56" s="259" spans="1:18">
      <c r="A56" s="49" t="s">
        <v>184</v>
      </c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</row>
    <row r="57" spans="1:18">
      <c r="A57" s="8" t="s">
        <v>185</v>
      </c>
    </row>
    <row r="58" spans="1:18">
      <c r="A58" s="8" t="s">
        <v>186</v>
      </c>
    </row>
    <row r="59" spans="1:18">
      <c r="A59" s="142" t="n"/>
      <c r="B59" s="142" t="n"/>
    </row>
    <row r="101" spans="1:18">
      <c r="R101">
        <f>(R41-Q41)/58*28</f>
        <v/>
      </c>
    </row>
    <row r="1903" spans="1:18">
      <c r="L1903" s="142" t="n">
        <v>0</v>
      </c>
    </row>
  </sheetData>
  <printOptions horizontalCentered="1" verticalCentered="1"/>
  <pageMargins bottom="0.5" footer="0.5" header="0.5" left="0" right="0" top="0.5"/>
  <pageSetup orientation="landscape" scale="72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90"/>
  <sheetViews>
    <sheetView tabSelected="1" workbookViewId="0" zoomScale="120" zoomScaleNormal="120">
      <pane activePane="bottomRight" state="frozen" topLeftCell="R4" xSplit="17" ySplit="3"/>
      <selection activeCell="R1" pane="topRight" sqref="R1"/>
      <selection activeCell="A4" pane="bottomLeft" sqref="A4"/>
      <selection activeCell="J70" pane="bottomRight" sqref="J70"/>
    </sheetView>
  </sheetViews>
  <sheetFormatPr baseColWidth="8" defaultColWidth="9.140625" defaultRowHeight="11.25" outlineLevelCol="0"/>
  <cols>
    <col customWidth="1" max="1" min="1" style="142" width="15.140625"/>
    <col customWidth="1" max="2" min="2" style="142" width="12.85546875"/>
    <col customWidth="1" hidden="1" max="3" min="3" style="142" width="6.5703125"/>
    <col customWidth="1" hidden="1" max="4" min="4" style="142" width="7.140625"/>
    <col customWidth="1" hidden="1" max="5" min="5" style="142" width="10.42578125"/>
    <col customWidth="1" hidden="1" max="6" min="6" style="142" width="12.85546875"/>
    <col customWidth="1" hidden="1" max="7" min="7" style="142" width="11.85546875"/>
    <col customWidth="1" hidden="1" max="8" min="8" style="142" width="9.5703125"/>
    <col customWidth="1" hidden="1" max="9" min="9" style="142" width="7.140625"/>
    <col customWidth="1" max="10" min="10" style="142" width="9.85546875"/>
    <col customWidth="1" hidden="1" max="11" min="11" style="142" width="9.85546875"/>
    <col customWidth="1" hidden="1" max="12" min="12" style="142" width="10.42578125"/>
    <col customWidth="1" hidden="1" max="13" min="13" style="142" width="11.5703125"/>
    <col customWidth="1" hidden="1" max="14" min="14" style="142" width="9.85546875"/>
    <col customWidth="1" hidden="1" max="15" min="15" style="142" width="10.42578125"/>
    <col customWidth="1" hidden="1" max="16" min="16" style="142" width="9.5703125"/>
    <col customWidth="1" max="17" min="17" style="142" width="8.28515625"/>
    <col customWidth="1" max="18" min="18" style="142" width="7.7109375"/>
    <col customWidth="1" max="19" min="19" style="142" width="9.140625"/>
    <col customWidth="1" max="20" min="20" style="142" width="13.28515625"/>
    <col customWidth="1" max="16384" min="21" style="142" width="9.140625"/>
  </cols>
  <sheetData>
    <row customHeight="1" ht="15.75" r="1" s="3" spans="1:17">
      <c r="A1" s="47" t="s">
        <v>2</v>
      </c>
      <c r="L1" s="274" t="n"/>
      <c r="N1" s="268" t="n"/>
    </row>
    <row customHeight="1" ht="12" r="3" s="3" spans="1:17">
      <c r="A3" s="145" t="s">
        <v>3</v>
      </c>
      <c r="B3" s="145" t="s">
        <v>4</v>
      </c>
      <c r="C3" s="289" t="n">
        <v>42930</v>
      </c>
      <c r="D3" s="289" t="n">
        <v>42961</v>
      </c>
      <c r="E3" s="289" t="n">
        <v>42992</v>
      </c>
      <c r="F3" s="289" t="n">
        <v>43022</v>
      </c>
      <c r="G3" s="289" t="n">
        <v>43053</v>
      </c>
      <c r="H3" s="289" t="n">
        <v>43083</v>
      </c>
      <c r="I3" s="289" t="n">
        <v>43114</v>
      </c>
      <c r="J3" s="289" t="n">
        <v>43145</v>
      </c>
      <c r="K3" s="289" t="n">
        <v>43173</v>
      </c>
      <c r="L3" s="289" t="n">
        <v>43204</v>
      </c>
      <c r="M3" s="289" t="n">
        <v>43234</v>
      </c>
      <c r="N3" s="289" t="n">
        <v>43265</v>
      </c>
      <c r="O3" s="130" t="s">
        <v>1</v>
      </c>
      <c r="P3" s="135" t="s">
        <v>5</v>
      </c>
    </row>
    <row r="4" spans="1:17">
      <c r="A4" s="142" t="n"/>
      <c r="B4" s="142" t="n"/>
      <c r="C4" s="142" t="n"/>
      <c r="D4" s="142" t="n"/>
      <c r="E4" s="142" t="n"/>
      <c r="F4" s="142" t="n"/>
      <c r="G4" s="142" t="n"/>
      <c r="H4" s="290" t="n"/>
      <c r="I4" s="142" t="n"/>
      <c r="J4" s="290" t="n"/>
      <c r="K4" s="290" t="n"/>
      <c r="L4" s="290" t="n"/>
      <c r="M4" s="290" t="n"/>
      <c r="N4" s="290" t="n"/>
      <c r="O4" s="127" t="n"/>
    </row>
    <row r="5" spans="1:17">
      <c r="A5" s="142" t="s">
        <v>6</v>
      </c>
      <c r="B5" s="274" t="s">
        <v>7</v>
      </c>
      <c r="C5" s="290">
        <f>Electricity!C23</f>
        <v/>
      </c>
      <c r="D5" s="290">
        <f>Electricity!D23</f>
        <v/>
      </c>
      <c r="E5" s="290">
        <f>Electricity!E23</f>
        <v/>
      </c>
      <c r="F5" s="290">
        <f>Electricity!F23</f>
        <v/>
      </c>
      <c r="G5" s="290">
        <f>Electricity!G23</f>
        <v/>
      </c>
      <c r="H5" s="290">
        <f>Electricity!H23</f>
        <v/>
      </c>
      <c r="I5" s="290">
        <f>Electricity!I23</f>
        <v/>
      </c>
      <c r="J5" s="290">
        <f>Electricity!J23</f>
        <v/>
      </c>
      <c r="K5" s="290">
        <f>Electricity!K23</f>
        <v/>
      </c>
      <c r="L5" s="290">
        <f>Electricity!L23</f>
        <v/>
      </c>
      <c r="M5" s="290">
        <f>Electricity!M23</f>
        <v/>
      </c>
      <c r="N5" s="290">
        <f>Electricity!N23</f>
        <v/>
      </c>
      <c r="O5" s="290">
        <f>SUM(C5:N5)</f>
        <v/>
      </c>
    </row>
    <row r="6" spans="1:17">
      <c r="A6" s="142" t="s">
        <v>8</v>
      </c>
      <c r="B6" s="274" t="s">
        <v>9</v>
      </c>
      <c r="C6" s="290">
        <f>4/24*(Gas!C$9+Gas!C$13)</f>
        <v/>
      </c>
      <c r="D6" s="290">
        <f>4/24*(Gas!D$9+Gas!D$13)</f>
        <v/>
      </c>
      <c r="E6" s="291">
        <f>4/24*(Gas!E$9+Gas!E$13)</f>
        <v/>
      </c>
      <c r="F6" s="290">
        <f>4/24*(Gas!F$9+Gas!F$13)</f>
        <v/>
      </c>
      <c r="G6" s="290">
        <f>4/24*(Gas!G$9+Gas!G$13)</f>
        <v/>
      </c>
      <c r="H6" s="290">
        <f>4/24*(Gas!H$9+Gas!H$13)</f>
        <v/>
      </c>
      <c r="I6" s="290">
        <f>4/24*(Gas!I$9+Gas!I$13)</f>
        <v/>
      </c>
      <c r="J6" s="290">
        <f>4/24*(Gas!J$9+Gas!J$13)</f>
        <v/>
      </c>
      <c r="K6" s="290">
        <f>4/24*(Gas!K$9+Gas!K$13)</f>
        <v/>
      </c>
      <c r="L6" s="290">
        <f>4/24*(Gas!L$9+Gas!L$13)</f>
        <v/>
      </c>
      <c r="M6" s="290">
        <f>4/24*(Gas!M$9+Gas!M$13)</f>
        <v/>
      </c>
      <c r="N6" s="290">
        <f>4/24*(Gas!N$9+Gas!N$13)</f>
        <v/>
      </c>
      <c r="O6" s="290">
        <f>SUM(C6:N6)</f>
        <v/>
      </c>
    </row>
    <row r="7" spans="1:17">
      <c r="A7" s="142" t="n"/>
      <c r="B7" s="142" t="s">
        <v>10</v>
      </c>
      <c r="C7" s="290">
        <f>Water!C9</f>
        <v/>
      </c>
      <c r="D7" s="290">
        <f>Water!D9</f>
        <v/>
      </c>
      <c r="E7" s="290">
        <f>Water!E9</f>
        <v/>
      </c>
      <c r="F7" s="290">
        <f>Water!F9</f>
        <v/>
      </c>
      <c r="G7" s="290">
        <f>Water!G9</f>
        <v/>
      </c>
      <c r="H7" s="290">
        <f>Water!H9</f>
        <v/>
      </c>
      <c r="I7" s="290">
        <f>Water!I9</f>
        <v/>
      </c>
      <c r="J7" s="290">
        <f>Water!J9</f>
        <v/>
      </c>
      <c r="K7" s="290">
        <f>Water!K9</f>
        <v/>
      </c>
      <c r="L7" s="290">
        <f>Water!L9</f>
        <v/>
      </c>
      <c r="M7" s="290">
        <f>Water!M9</f>
        <v/>
      </c>
      <c r="N7" s="290">
        <f>Water!N9</f>
        <v/>
      </c>
      <c r="O7" s="290">
        <f>SUM(C7:N7)</f>
        <v/>
      </c>
    </row>
    <row r="8" spans="1:17">
      <c r="A8" s="142" t="n"/>
      <c r="B8" s="142" t="s">
        <v>11</v>
      </c>
      <c r="C8" s="290">
        <f>'Chilled Water'!C7</f>
        <v/>
      </c>
      <c r="D8" s="290">
        <f>'Chilled Water'!D7</f>
        <v/>
      </c>
      <c r="E8" s="290">
        <f>'Chilled Water'!E7</f>
        <v/>
      </c>
      <c r="F8" s="290">
        <f>'Chilled Water'!F7</f>
        <v/>
      </c>
      <c r="G8" s="290">
        <f>'Chilled Water'!G7</f>
        <v/>
      </c>
      <c r="H8" s="290">
        <f>'Chilled Water'!H7</f>
        <v/>
      </c>
      <c r="I8" s="290">
        <f>'Chilled Water'!I7</f>
        <v/>
      </c>
      <c r="J8" s="290">
        <f>'Chilled Water'!J7</f>
        <v/>
      </c>
      <c r="K8" s="290">
        <f>'Chilled Water'!K7</f>
        <v/>
      </c>
      <c r="L8" s="290">
        <f>'Chilled Water'!L7</f>
        <v/>
      </c>
      <c r="M8" s="290">
        <f>'Chilled Water'!M7</f>
        <v/>
      </c>
      <c r="N8" s="290">
        <f>'Chilled Water'!N7</f>
        <v/>
      </c>
      <c r="O8" s="290">
        <f>SUM(C8:N8)</f>
        <v/>
      </c>
    </row>
    <row r="9" spans="1:17">
      <c r="A9" s="142" t="s">
        <v>12</v>
      </c>
      <c r="B9" s="274" t="s">
        <v>7</v>
      </c>
      <c r="C9" s="290">
        <f>Electricity!C29</f>
        <v/>
      </c>
      <c r="D9" s="290">
        <f>Electricity!D29</f>
        <v/>
      </c>
      <c r="E9" s="290">
        <f>Electricity!E29</f>
        <v/>
      </c>
      <c r="F9" s="290">
        <f>Electricity!F29</f>
        <v/>
      </c>
      <c r="G9" s="290">
        <f>Electricity!G29</f>
        <v/>
      </c>
      <c r="H9" s="290">
        <f>Electricity!H29</f>
        <v/>
      </c>
      <c r="I9" s="290">
        <f>Electricity!I29</f>
        <v/>
      </c>
      <c r="J9" s="290">
        <f>Electricity!J29</f>
        <v/>
      </c>
      <c r="K9" s="290">
        <f>Electricity!K29</f>
        <v/>
      </c>
      <c r="L9" s="290">
        <f>Electricity!L29</f>
        <v/>
      </c>
      <c r="M9" s="290">
        <f>Electricity!M29</f>
        <v/>
      </c>
      <c r="N9" s="290">
        <f>Electricity!N29</f>
        <v/>
      </c>
      <c r="O9" s="290">
        <f>SUM(C9:N9)</f>
        <v/>
      </c>
    </row>
    <row r="10" spans="1:17">
      <c r="A10" s="142" t="n"/>
      <c r="B10" s="274" t="s">
        <v>9</v>
      </c>
      <c r="C10" s="290">
        <f>2/24*(Gas!C$9+Gas!C$13)</f>
        <v/>
      </c>
      <c r="D10" s="290">
        <f>2/24*(Gas!D$9+Gas!D$13)</f>
        <v/>
      </c>
      <c r="E10" s="290">
        <f>2/24*(Gas!E$9+Gas!E$13)</f>
        <v/>
      </c>
      <c r="F10" s="290">
        <f>2/24*(Gas!F$9+Gas!F$13)</f>
        <v/>
      </c>
      <c r="G10" s="290">
        <f>2/24*(Gas!G$9+Gas!G$13)</f>
        <v/>
      </c>
      <c r="H10" s="290">
        <f>2/24*(Gas!H$9+Gas!H$13)</f>
        <v/>
      </c>
      <c r="I10" s="290">
        <f>2/24*(Gas!I$9+Gas!I$13)</f>
        <v/>
      </c>
      <c r="J10" s="290">
        <f>2/24*(Gas!J$9+Gas!J$13)</f>
        <v/>
      </c>
      <c r="K10" s="290">
        <f>2/24*(Gas!K$9+Gas!K$13)</f>
        <v/>
      </c>
      <c r="L10" s="290">
        <f>2/24*(Gas!L$9+Gas!L$13)</f>
        <v/>
      </c>
      <c r="M10" s="290">
        <f>2/24*(Gas!M$9+Gas!M$13)</f>
        <v/>
      </c>
      <c r="N10" s="290">
        <f>2/24*(Gas!N$9+Gas!N$13)</f>
        <v/>
      </c>
      <c r="O10" s="290">
        <f>SUM(C10:N10)</f>
        <v/>
      </c>
    </row>
    <row r="11" spans="1:17">
      <c r="A11" s="142" t="n"/>
      <c r="B11" s="142" t="s">
        <v>10</v>
      </c>
      <c r="C11" s="290">
        <f>Water!C13</f>
        <v/>
      </c>
      <c r="D11" s="290">
        <f>Water!D13</f>
        <v/>
      </c>
      <c r="E11" s="290">
        <f>Water!E13</f>
        <v/>
      </c>
      <c r="F11" s="290">
        <f>Water!F13</f>
        <v/>
      </c>
      <c r="G11" s="290">
        <f>Water!G13</f>
        <v/>
      </c>
      <c r="H11" s="290">
        <f>Water!H13</f>
        <v/>
      </c>
      <c r="I11" s="290">
        <f>Water!I13</f>
        <v/>
      </c>
      <c r="J11" s="290">
        <f>Water!J13</f>
        <v/>
      </c>
      <c r="K11" s="290">
        <f>Water!K13</f>
        <v/>
      </c>
      <c r="L11" s="290">
        <f>Water!L13</f>
        <v/>
      </c>
      <c r="M11" s="290">
        <f>Water!M13</f>
        <v/>
      </c>
      <c r="N11" s="290">
        <f>Water!N13</f>
        <v/>
      </c>
      <c r="O11" s="290">
        <f>SUM(C11:N11)</f>
        <v/>
      </c>
    </row>
    <row r="12" spans="1:17">
      <c r="A12" s="142" t="n"/>
      <c r="B12" s="142" t="s">
        <v>11</v>
      </c>
      <c r="C12" s="290">
        <f>'Chilled Water'!C10</f>
        <v/>
      </c>
      <c r="D12" s="290">
        <f>'Chilled Water'!D10</f>
        <v/>
      </c>
      <c r="E12" s="290">
        <f>'Chilled Water'!E10</f>
        <v/>
      </c>
      <c r="F12" s="290">
        <f>'Chilled Water'!F10</f>
        <v/>
      </c>
      <c r="G12" s="290">
        <f>'Chilled Water'!G10</f>
        <v/>
      </c>
      <c r="H12" s="290">
        <f>'Chilled Water'!H10</f>
        <v/>
      </c>
      <c r="I12" s="290">
        <f>'Chilled Water'!I10</f>
        <v/>
      </c>
      <c r="J12" s="290">
        <f>'Chilled Water'!J10</f>
        <v/>
      </c>
      <c r="K12" s="290">
        <f>'Chilled Water'!K10</f>
        <v/>
      </c>
      <c r="L12" s="290">
        <f>'Chilled Water'!L10</f>
        <v/>
      </c>
      <c r="M12" s="290">
        <f>'Chilled Water'!M10</f>
        <v/>
      </c>
      <c r="N12" s="290">
        <f>'Chilled Water'!N10</f>
        <v/>
      </c>
      <c r="O12" s="290">
        <f>SUM(C12:N12)</f>
        <v/>
      </c>
    </row>
    <row r="13" spans="1:17">
      <c r="A13" s="142" t="s">
        <v>13</v>
      </c>
      <c r="B13" s="274" t="s">
        <v>7</v>
      </c>
      <c r="C13" s="290">
        <f>Electricity!C47</f>
        <v/>
      </c>
      <c r="D13" s="290">
        <f>Electricity!D47</f>
        <v/>
      </c>
      <c r="E13" s="290">
        <f>Electricity!E47</f>
        <v/>
      </c>
      <c r="F13" s="290">
        <f>Electricity!F47</f>
        <v/>
      </c>
      <c r="G13" s="290">
        <f>Electricity!G47</f>
        <v/>
      </c>
      <c r="H13" s="290">
        <f>Electricity!H47</f>
        <v/>
      </c>
      <c r="I13" s="290">
        <f>Electricity!I47</f>
        <v/>
      </c>
      <c r="J13" s="290">
        <f>Electricity!J47</f>
        <v/>
      </c>
      <c r="K13" s="290">
        <f>Electricity!K47</f>
        <v/>
      </c>
      <c r="L13" s="290">
        <f>Electricity!L47</f>
        <v/>
      </c>
      <c r="M13" s="290">
        <f>Electricity!M47</f>
        <v/>
      </c>
      <c r="N13" s="290">
        <f>Electricity!N47</f>
        <v/>
      </c>
      <c r="O13" s="290">
        <f>SUM(C13:N13)</f>
        <v/>
      </c>
    </row>
    <row r="14" spans="1:17">
      <c r="A14" s="142" t="n"/>
      <c r="B14" s="274" t="s">
        <v>9</v>
      </c>
      <c r="C14" s="290">
        <f>2/24*(Gas!C$9+Gas!C$13)</f>
        <v/>
      </c>
      <c r="D14" s="290">
        <f>2/24*(Gas!D$9+Gas!D$13)</f>
        <v/>
      </c>
      <c r="E14" s="291">
        <f>2/24*(Gas!E$9+Gas!E$13)</f>
        <v/>
      </c>
      <c r="F14" s="290">
        <f>2/24*(Gas!F$9+Gas!F$13)</f>
        <v/>
      </c>
      <c r="G14" s="290">
        <f>2/24*(Gas!G$9+Gas!G$13)</f>
        <v/>
      </c>
      <c r="H14" s="290">
        <f>2/24*(Gas!H$9+Gas!H$13)</f>
        <v/>
      </c>
      <c r="I14" s="290">
        <f>2/24*(Gas!I$9+Gas!I$13)</f>
        <v/>
      </c>
      <c r="J14" s="290">
        <f>2/24*(Gas!J$9+Gas!J$13)</f>
        <v/>
      </c>
      <c r="K14" s="290">
        <f>2/24*(Gas!K$9+Gas!K$13)</f>
        <v/>
      </c>
      <c r="L14" s="290">
        <f>2/24*(Gas!L$9+Gas!L$13)</f>
        <v/>
      </c>
      <c r="M14" s="290">
        <f>2/24*(Gas!M$9+Gas!M$13)</f>
        <v/>
      </c>
      <c r="N14" s="290">
        <f>2/24*(Gas!N$9+Gas!N$13)</f>
        <v/>
      </c>
      <c r="O14" s="290">
        <f>SUM(C14:N14)</f>
        <v/>
      </c>
    </row>
    <row r="15" spans="1:17">
      <c r="A15" s="142" t="n"/>
      <c r="B15" s="142" t="s">
        <v>10</v>
      </c>
      <c r="C15" s="290">
        <f>Water!C17</f>
        <v/>
      </c>
      <c r="D15" s="290">
        <f>Water!D17</f>
        <v/>
      </c>
      <c r="E15" s="290">
        <f>Water!E17</f>
        <v/>
      </c>
      <c r="F15" s="290">
        <f>Water!F17</f>
        <v/>
      </c>
      <c r="G15" s="290">
        <f>Water!G17</f>
        <v/>
      </c>
      <c r="H15" s="290">
        <f>Water!H17</f>
        <v/>
      </c>
      <c r="I15" s="290">
        <f>Water!I17</f>
        <v/>
      </c>
      <c r="J15" s="290">
        <f>Water!J17</f>
        <v/>
      </c>
      <c r="K15" s="290">
        <f>Water!K17</f>
        <v/>
      </c>
      <c r="L15" s="290">
        <f>Water!L17</f>
        <v/>
      </c>
      <c r="M15" s="290">
        <f>Water!M17</f>
        <v/>
      </c>
      <c r="N15" s="290">
        <f>Water!N17</f>
        <v/>
      </c>
      <c r="O15" s="290">
        <f>SUM(C15:N15)</f>
        <v/>
      </c>
    </row>
    <row r="16" spans="1:17">
      <c r="A16" s="142" t="n"/>
      <c r="B16" s="142" t="s">
        <v>11</v>
      </c>
      <c r="C16" s="290">
        <f>'Chilled Water'!C13</f>
        <v/>
      </c>
      <c r="D16" s="290">
        <f>'Chilled Water'!D13</f>
        <v/>
      </c>
      <c r="E16" s="290">
        <f>'Chilled Water'!E13</f>
        <v/>
      </c>
      <c r="F16" s="290">
        <f>'Chilled Water'!F13</f>
        <v/>
      </c>
      <c r="G16" s="290">
        <f>'Chilled Water'!G13</f>
        <v/>
      </c>
      <c r="H16" s="292">
        <f>'Chilled Water'!H13</f>
        <v/>
      </c>
      <c r="I16" s="290">
        <f>'Chilled Water'!I13</f>
        <v/>
      </c>
      <c r="J16" s="292">
        <f>'Chilled Water'!J13</f>
        <v/>
      </c>
      <c r="K16" s="292">
        <f>'Chilled Water'!K13</f>
        <v/>
      </c>
      <c r="L16" s="292">
        <f>'Chilled Water'!L13</f>
        <v/>
      </c>
      <c r="M16" s="292">
        <f>'Chilled Water'!M13</f>
        <v/>
      </c>
      <c r="N16" s="292">
        <f>'Chilled Water'!N13</f>
        <v/>
      </c>
      <c r="O16" s="290">
        <f>SUM(C16:N16)</f>
        <v/>
      </c>
    </row>
    <row r="17" spans="1:17">
      <c r="A17" s="142" t="s">
        <v>14</v>
      </c>
      <c r="B17" s="274" t="s">
        <v>7</v>
      </c>
      <c r="C17" s="292">
        <f>Electricity!C35</f>
        <v/>
      </c>
      <c r="D17" s="292">
        <f>Electricity!D35</f>
        <v/>
      </c>
      <c r="E17" s="292">
        <f>Electricity!E35</f>
        <v/>
      </c>
      <c r="F17" s="292">
        <f>Electricity!F35</f>
        <v/>
      </c>
      <c r="G17" s="292">
        <f>Electricity!G35</f>
        <v/>
      </c>
      <c r="H17" s="290">
        <f>Electricity!H35</f>
        <v/>
      </c>
      <c r="I17" s="292">
        <f>Electricity!I35</f>
        <v/>
      </c>
      <c r="J17" s="290">
        <f>Electricity!J35</f>
        <v/>
      </c>
      <c r="K17" s="290">
        <f>Electricity!K35</f>
        <v/>
      </c>
      <c r="L17" s="290">
        <f>Electricity!L35</f>
        <v/>
      </c>
      <c r="M17" s="290">
        <f>Electricity!M35</f>
        <v/>
      </c>
      <c r="N17" s="290">
        <f>Electricity!N35</f>
        <v/>
      </c>
      <c r="O17" s="290">
        <f>SUM(C17:N17)</f>
        <v/>
      </c>
    </row>
    <row r="18" spans="1:17">
      <c r="A18" s="142" t="n"/>
      <c r="B18" s="274" t="s">
        <v>9</v>
      </c>
      <c r="C18" s="290">
        <f>2/24*(Gas!C$9+Gas!C$13)</f>
        <v/>
      </c>
      <c r="D18" s="290">
        <f>2/24*(Gas!D$9+Gas!D$13)</f>
        <v/>
      </c>
      <c r="E18" s="291">
        <f>2/24*(Gas!E$9+Gas!E$13)</f>
        <v/>
      </c>
      <c r="F18" s="290">
        <f>2/24*(Gas!F$9+Gas!F$13)</f>
        <v/>
      </c>
      <c r="G18" s="290">
        <f>2/24*(Gas!G$9+Gas!G$13)</f>
        <v/>
      </c>
      <c r="H18" s="290">
        <f>2/24*(Gas!H$9+Gas!H$13)</f>
        <v/>
      </c>
      <c r="I18" s="290">
        <f>2/24*(Gas!I$9+Gas!I$13)</f>
        <v/>
      </c>
      <c r="J18" s="290">
        <f>2/24*(Gas!J$9+Gas!J$13)</f>
        <v/>
      </c>
      <c r="K18" s="290">
        <f>2/24*(Gas!K$9+Gas!K$13)</f>
        <v/>
      </c>
      <c r="L18" s="290">
        <f>2/24*(Gas!L$9+Gas!L$13)</f>
        <v/>
      </c>
      <c r="M18" s="290">
        <f>2/24*(Gas!M$9+Gas!M$13)</f>
        <v/>
      </c>
      <c r="N18" s="290">
        <f>2/24*(Gas!N$9+Gas!N$13)</f>
        <v/>
      </c>
      <c r="O18" s="290">
        <f>SUM(C18:N18)</f>
        <v/>
      </c>
    </row>
    <row r="19" spans="1:17">
      <c r="A19" s="142" t="n"/>
      <c r="B19" s="142" t="s">
        <v>10</v>
      </c>
      <c r="C19" s="290">
        <f>Water!C20</f>
        <v/>
      </c>
      <c r="D19" s="290">
        <f>Water!D20</f>
        <v/>
      </c>
      <c r="E19" s="290">
        <f>Water!E20</f>
        <v/>
      </c>
      <c r="F19" s="290">
        <f>Water!F20</f>
        <v/>
      </c>
      <c r="G19" s="290">
        <f>Water!G20</f>
        <v/>
      </c>
      <c r="H19" s="290">
        <f>Water!H20</f>
        <v/>
      </c>
      <c r="I19" s="290">
        <f>Water!I20</f>
        <v/>
      </c>
      <c r="J19" s="290">
        <f>Water!J20</f>
        <v/>
      </c>
      <c r="K19" s="290">
        <f>Water!K20</f>
        <v/>
      </c>
      <c r="L19" s="290">
        <f>Water!L20</f>
        <v/>
      </c>
      <c r="M19" s="290">
        <f>Water!M20</f>
        <v/>
      </c>
      <c r="N19" s="290">
        <f>Water!N20</f>
        <v/>
      </c>
      <c r="O19" s="290">
        <f>SUM(C19:N19)</f>
        <v/>
      </c>
    </row>
    <row r="20" spans="1:17">
      <c r="A20" s="142" t="n"/>
      <c r="B20" s="142" t="s">
        <v>11</v>
      </c>
      <c r="C20" s="290">
        <f>'Chilled Water'!C16</f>
        <v/>
      </c>
      <c r="D20" s="290">
        <f>'Chilled Water'!D16</f>
        <v/>
      </c>
      <c r="E20" s="290">
        <f>'Chilled Water'!E16</f>
        <v/>
      </c>
      <c r="F20" s="290">
        <f>'Chilled Water'!F16</f>
        <v/>
      </c>
      <c r="G20" s="290">
        <f>'Chilled Water'!G16</f>
        <v/>
      </c>
      <c r="H20" s="290">
        <f>'Chilled Water'!H16</f>
        <v/>
      </c>
      <c r="I20" s="290">
        <f>'Chilled Water'!I16</f>
        <v/>
      </c>
      <c r="J20" s="290">
        <f>'Chilled Water'!J16</f>
        <v/>
      </c>
      <c r="K20" s="290">
        <f>'Chilled Water'!K16</f>
        <v/>
      </c>
      <c r="L20" s="290">
        <f>'Chilled Water'!L16</f>
        <v/>
      </c>
      <c r="M20" s="290">
        <f>'Chilled Water'!M16</f>
        <v/>
      </c>
      <c r="N20" s="290">
        <f>'Chilled Water'!N16</f>
        <v/>
      </c>
      <c r="O20" s="290">
        <f>SUM(C20:N20)</f>
        <v/>
      </c>
    </row>
    <row r="21" spans="1:17">
      <c r="A21" s="142" t="s">
        <v>15</v>
      </c>
      <c r="B21" s="274" t="s">
        <v>7</v>
      </c>
      <c r="C21" s="290">
        <f>Electricity!C32</f>
        <v/>
      </c>
      <c r="D21" s="290">
        <f>Electricity!D32</f>
        <v/>
      </c>
      <c r="E21" s="290">
        <f>Electricity!E32</f>
        <v/>
      </c>
      <c r="F21" s="290">
        <f>Electricity!F32</f>
        <v/>
      </c>
      <c r="G21" s="290">
        <f>Electricity!G32</f>
        <v/>
      </c>
      <c r="H21" s="290">
        <f>Electricity!H32</f>
        <v/>
      </c>
      <c r="I21" s="290">
        <f>Electricity!I32</f>
        <v/>
      </c>
      <c r="J21" s="290">
        <f>Electricity!J32</f>
        <v/>
      </c>
      <c r="K21" s="290">
        <f>Electricity!K32</f>
        <v/>
      </c>
      <c r="L21" s="290">
        <f>Electricity!L32</f>
        <v/>
      </c>
      <c r="M21" s="290">
        <f>Electricity!M32</f>
        <v/>
      </c>
      <c r="N21" s="290">
        <f>Electricity!N32</f>
        <v/>
      </c>
      <c r="O21" s="290">
        <f>SUM(C21:N21)</f>
        <v/>
      </c>
    </row>
    <row r="22" spans="1:17">
      <c r="A22" s="142" t="n"/>
      <c r="B22" s="274" t="s">
        <v>9</v>
      </c>
      <c r="C22" s="290">
        <f>2/24*(Gas!C$9+Gas!C$13)</f>
        <v/>
      </c>
      <c r="D22" s="290">
        <f>2/24*(Gas!D$9+Gas!D$13)</f>
        <v/>
      </c>
      <c r="E22" s="291">
        <f>2/24*(Gas!E$9+Gas!E$13)</f>
        <v/>
      </c>
      <c r="F22" s="290">
        <f>2/24*(Gas!F$9+Gas!F$13)</f>
        <v/>
      </c>
      <c r="G22" s="290">
        <f>2/24*(Gas!G$9+Gas!G$13)</f>
        <v/>
      </c>
      <c r="H22" s="290">
        <f>2/24*(Gas!H$9+Gas!H$13)</f>
        <v/>
      </c>
      <c r="I22" s="290">
        <f>2/24*(Gas!I$9+Gas!I$13)</f>
        <v/>
      </c>
      <c r="J22" s="290">
        <f>2/24*(Gas!J$9+Gas!J$13)</f>
        <v/>
      </c>
      <c r="K22" s="290">
        <f>2/24*(Gas!K$9+Gas!K$13)</f>
        <v/>
      </c>
      <c r="L22" s="290">
        <f>2/24*(Gas!L$9+Gas!L$13)</f>
        <v/>
      </c>
      <c r="M22" s="290">
        <f>2/24*(Gas!M$9+Gas!M$13)</f>
        <v/>
      </c>
      <c r="N22" s="290">
        <f>2/24*(Gas!N$9+Gas!N$13)</f>
        <v/>
      </c>
      <c r="O22" s="290">
        <f>SUM(C22:N22)</f>
        <v/>
      </c>
    </row>
    <row r="23" spans="1:17">
      <c r="A23" s="142" t="n"/>
      <c r="B23" s="142" t="s">
        <v>10</v>
      </c>
      <c r="C23" s="290">
        <f>Water!C24</f>
        <v/>
      </c>
      <c r="D23" s="290">
        <f>Water!D24</f>
        <v/>
      </c>
      <c r="E23" s="290">
        <f>Water!E24</f>
        <v/>
      </c>
      <c r="F23" s="290">
        <f>Water!F24</f>
        <v/>
      </c>
      <c r="G23" s="290">
        <f>Water!G24</f>
        <v/>
      </c>
      <c r="H23" s="290">
        <f>Water!H24</f>
        <v/>
      </c>
      <c r="I23" s="290">
        <f>Water!I24</f>
        <v/>
      </c>
      <c r="J23" s="290">
        <f>Water!J24</f>
        <v/>
      </c>
      <c r="K23" s="290">
        <f>Water!K24</f>
        <v/>
      </c>
      <c r="L23" s="290">
        <f>Water!L24</f>
        <v/>
      </c>
      <c r="M23" s="290">
        <f>Water!M24</f>
        <v/>
      </c>
      <c r="N23" s="290">
        <f>Water!N24</f>
        <v/>
      </c>
      <c r="O23" s="290">
        <f>SUM(C23:N23)</f>
        <v/>
      </c>
    </row>
    <row r="24" spans="1:17">
      <c r="A24" s="142" t="n"/>
      <c r="B24" s="142" t="s">
        <v>11</v>
      </c>
      <c r="C24" s="290">
        <f>'Chilled Water'!C19</f>
        <v/>
      </c>
      <c r="D24" s="290">
        <f>'Chilled Water'!D19</f>
        <v/>
      </c>
      <c r="E24" s="290">
        <f>'Chilled Water'!E19</f>
        <v/>
      </c>
      <c r="F24" s="290">
        <f>'Chilled Water'!F19</f>
        <v/>
      </c>
      <c r="G24" s="290">
        <f>'Chilled Water'!G19</f>
        <v/>
      </c>
      <c r="H24" s="290">
        <f>'Chilled Water'!H19</f>
        <v/>
      </c>
      <c r="I24" s="290">
        <f>'Chilled Water'!I19</f>
        <v/>
      </c>
      <c r="J24" s="290">
        <f>'Chilled Water'!J19</f>
        <v/>
      </c>
      <c r="K24" s="290">
        <f>'Chilled Water'!K19</f>
        <v/>
      </c>
      <c r="L24" s="290">
        <f>'Chilled Water'!L19</f>
        <v/>
      </c>
      <c r="M24" s="290">
        <f>'Chilled Water'!M19</f>
        <v/>
      </c>
      <c r="N24" s="290">
        <f>'Chilled Water'!N19</f>
        <v/>
      </c>
      <c r="O24" s="290">
        <f>SUM(C24:N24)</f>
        <v/>
      </c>
      <c r="Q24" s="142" t="s">
        <v>16</v>
      </c>
    </row>
    <row r="25" spans="1:17">
      <c r="A25" s="142" t="s">
        <v>17</v>
      </c>
      <c r="B25" s="274" t="s">
        <v>7</v>
      </c>
      <c r="C25" s="290">
        <f>Electricity!C26</f>
        <v/>
      </c>
      <c r="D25" s="290">
        <f>Electricity!D26</f>
        <v/>
      </c>
      <c r="E25" s="290">
        <f>Electricity!E26</f>
        <v/>
      </c>
      <c r="F25" s="290">
        <f>Electricity!F26</f>
        <v/>
      </c>
      <c r="G25" s="290">
        <f>Electricity!G26</f>
        <v/>
      </c>
      <c r="H25" s="290">
        <f>Electricity!H26</f>
        <v/>
      </c>
      <c r="I25" s="290">
        <f>Electricity!I26</f>
        <v/>
      </c>
      <c r="J25" s="290">
        <f>Electricity!J26</f>
        <v/>
      </c>
      <c r="K25" s="290">
        <f>Electricity!K26</f>
        <v/>
      </c>
      <c r="L25" s="290">
        <f>Electricity!L26</f>
        <v/>
      </c>
      <c r="M25" s="290">
        <f>Electricity!M26</f>
        <v/>
      </c>
      <c r="N25" s="290">
        <f>Electricity!N26</f>
        <v/>
      </c>
      <c r="O25" s="290">
        <f>SUM(C25:N25)</f>
        <v/>
      </c>
    </row>
    <row r="26" spans="1:17">
      <c r="A26" s="142" t="n"/>
      <c r="B26" s="274" t="s">
        <v>9</v>
      </c>
      <c r="C26" s="290">
        <f>1/24*(Gas!C$9+Gas!C$13)</f>
        <v/>
      </c>
      <c r="D26" s="290">
        <f>1/24*(Gas!D$9+Gas!D$13)</f>
        <v/>
      </c>
      <c r="E26" s="291">
        <f>1/24*(Gas!E$9+Gas!E$13)</f>
        <v/>
      </c>
      <c r="F26" s="290">
        <f>1/24*(Gas!F$9+Gas!F$13)</f>
        <v/>
      </c>
      <c r="G26" s="290">
        <f>1/24*(Gas!G$9+Gas!G$13)</f>
        <v/>
      </c>
      <c r="H26" s="290">
        <f>1/24*(Gas!H$9+Gas!H$13)</f>
        <v/>
      </c>
      <c r="I26" s="290">
        <f>1/24*(Gas!I$9+Gas!I$13)</f>
        <v/>
      </c>
      <c r="J26" s="290">
        <f>1/24*(Gas!J$9+Gas!J$13)</f>
        <v/>
      </c>
      <c r="K26" s="290">
        <f>1/24*(Gas!K$9+Gas!K$13)</f>
        <v/>
      </c>
      <c r="L26" s="290">
        <f>1/24*(Gas!L$9+Gas!L$13)</f>
        <v/>
      </c>
      <c r="M26" s="290">
        <f>1/24*(Gas!M$9+Gas!M$13)</f>
        <v/>
      </c>
      <c r="N26" s="290">
        <f>1/24*(Gas!N$9+Gas!N$13)</f>
        <v/>
      </c>
      <c r="O26" s="290">
        <f>SUM(C26:N26)</f>
        <v/>
      </c>
    </row>
    <row r="27" spans="1:17">
      <c r="A27" s="142" t="n"/>
      <c r="B27" s="142" t="s">
        <v>10</v>
      </c>
      <c r="C27" s="290">
        <f>Water!C28</f>
        <v/>
      </c>
      <c r="D27" s="290">
        <f>Water!D28</f>
        <v/>
      </c>
      <c r="E27" s="290">
        <f>Water!E28</f>
        <v/>
      </c>
      <c r="F27" s="290">
        <f>Water!F28</f>
        <v/>
      </c>
      <c r="G27" s="290">
        <f>Water!G28</f>
        <v/>
      </c>
      <c r="H27" s="290">
        <f>Water!H28</f>
        <v/>
      </c>
      <c r="I27" s="290">
        <f>Water!I28</f>
        <v/>
      </c>
      <c r="J27" s="290">
        <f>Water!J28</f>
        <v/>
      </c>
      <c r="K27" s="290">
        <f>Water!K28</f>
        <v/>
      </c>
      <c r="L27" s="290">
        <f>Water!L28</f>
        <v/>
      </c>
      <c r="M27" s="290">
        <f>Water!M28</f>
        <v/>
      </c>
      <c r="N27" s="290">
        <f>Water!N28</f>
        <v/>
      </c>
      <c r="O27" s="290">
        <f>SUM(C27:N27)</f>
        <v/>
      </c>
    </row>
    <row r="28" spans="1:17">
      <c r="A28" s="142" t="n"/>
      <c r="B28" s="142" t="s">
        <v>11</v>
      </c>
      <c r="C28" s="290">
        <f>'Chilled Water'!C22</f>
        <v/>
      </c>
      <c r="D28" s="290">
        <f>'Chilled Water'!D22</f>
        <v/>
      </c>
      <c r="E28" s="290">
        <f>'Chilled Water'!E22</f>
        <v/>
      </c>
      <c r="F28" s="290">
        <f>'Chilled Water'!F22</f>
        <v/>
      </c>
      <c r="G28" s="290">
        <f>'Chilled Water'!G22</f>
        <v/>
      </c>
      <c r="H28" s="290">
        <f>'Chilled Water'!H22</f>
        <v/>
      </c>
      <c r="I28" s="290">
        <f>'Chilled Water'!I22</f>
        <v/>
      </c>
      <c r="J28" s="290">
        <f>'Chilled Water'!J22</f>
        <v/>
      </c>
      <c r="K28" s="290">
        <f>'Chilled Water'!K22</f>
        <v/>
      </c>
      <c r="L28" s="290">
        <f>'Chilled Water'!L22</f>
        <v/>
      </c>
      <c r="M28" s="290">
        <f>'Chilled Water'!M22</f>
        <v/>
      </c>
      <c r="N28" s="290">
        <f>'Chilled Water'!N22</f>
        <v/>
      </c>
      <c r="O28" s="290">
        <f>SUM(C28:N28)</f>
        <v/>
      </c>
    </row>
    <row r="29" spans="1:17">
      <c r="A29" s="142" t="s">
        <v>18</v>
      </c>
      <c r="B29" s="274" t="s">
        <v>7</v>
      </c>
      <c r="C29" s="290">
        <f>Electricity!C44</f>
        <v/>
      </c>
      <c r="D29" s="290">
        <f>Electricity!D44</f>
        <v/>
      </c>
      <c r="E29" s="290">
        <f>Electricity!E44</f>
        <v/>
      </c>
      <c r="F29" s="290">
        <f>Electricity!F44</f>
        <v/>
      </c>
      <c r="G29" s="290">
        <f>Electricity!G44</f>
        <v/>
      </c>
      <c r="H29" s="290">
        <f>Electricity!H44</f>
        <v/>
      </c>
      <c r="I29" s="290">
        <f>Electricity!I44</f>
        <v/>
      </c>
      <c r="J29" s="290">
        <f>Electricity!J44</f>
        <v/>
      </c>
      <c r="K29" s="290">
        <f>Electricity!K44</f>
        <v/>
      </c>
      <c r="L29" s="290">
        <f>Electricity!L44</f>
        <v/>
      </c>
      <c r="M29" s="290">
        <f>Electricity!M44</f>
        <v/>
      </c>
      <c r="N29" s="290">
        <f>Electricity!N44</f>
        <v/>
      </c>
      <c r="O29" s="290">
        <f>SUM(C29:N29)</f>
        <v/>
      </c>
    </row>
    <row r="30" spans="1:17">
      <c r="A30" s="142" t="s">
        <v>19</v>
      </c>
      <c r="B30" s="274" t="s">
        <v>9</v>
      </c>
      <c r="C30" s="290">
        <f>2/24*(Gas!C$9+Gas!C$13)</f>
        <v/>
      </c>
      <c r="D30" s="290">
        <f>2/24*(Gas!D$9+Gas!D$13)</f>
        <v/>
      </c>
      <c r="E30" s="291">
        <f>2/24*(Gas!E$9+Gas!E$13)</f>
        <v/>
      </c>
      <c r="F30" s="290">
        <f>2/24*(Gas!F$9+Gas!F$13)</f>
        <v/>
      </c>
      <c r="G30" s="290">
        <f>2/24*(Gas!G$9+Gas!G$13)</f>
        <v/>
      </c>
      <c r="H30" s="290">
        <f>2/24*(Gas!H$9+Gas!H$13)</f>
        <v/>
      </c>
      <c r="I30" s="290">
        <f>2/24*(Gas!I$9+Gas!I$13)</f>
        <v/>
      </c>
      <c r="J30" s="290">
        <f>2/24*(Gas!J$9+Gas!J$13)</f>
        <v/>
      </c>
      <c r="K30" s="290">
        <f>2/24*(Gas!K$9+Gas!K$13)</f>
        <v/>
      </c>
      <c r="L30" s="290">
        <f>2/24*(Gas!L$9+Gas!L$13)</f>
        <v/>
      </c>
      <c r="M30" s="290">
        <f>2/24*(Gas!M$9+Gas!M$13)</f>
        <v/>
      </c>
      <c r="N30" s="290">
        <f>2/24*(Gas!N$9+Gas!N$13)</f>
        <v/>
      </c>
      <c r="O30" s="290">
        <f>SUM(C30:N30)</f>
        <v/>
      </c>
    </row>
    <row r="31" spans="1:17">
      <c r="A31" s="142" t="n"/>
      <c r="B31" s="142" t="s">
        <v>10</v>
      </c>
      <c r="C31" s="290">
        <f>Water!C32</f>
        <v/>
      </c>
      <c r="D31" s="290">
        <f>Water!D32</f>
        <v/>
      </c>
      <c r="E31" s="290">
        <f>Water!E32</f>
        <v/>
      </c>
      <c r="F31" s="290">
        <f>Water!F32</f>
        <v/>
      </c>
      <c r="G31" s="290">
        <f>Water!G32</f>
        <v/>
      </c>
      <c r="H31" s="290">
        <f>Water!H32</f>
        <v/>
      </c>
      <c r="I31" s="290">
        <f>Water!I32</f>
        <v/>
      </c>
      <c r="J31" s="290">
        <f>Water!J32</f>
        <v/>
      </c>
      <c r="K31" s="290">
        <f>Water!K32</f>
        <v/>
      </c>
      <c r="L31" s="290">
        <f>Water!L32</f>
        <v/>
      </c>
      <c r="M31" s="290">
        <f>Water!M32</f>
        <v/>
      </c>
      <c r="N31" s="290">
        <f>Water!N32</f>
        <v/>
      </c>
      <c r="O31" s="290">
        <f>SUM(C31:N31)</f>
        <v/>
      </c>
    </row>
    <row r="32" spans="1:17">
      <c r="A32" s="142" t="n"/>
      <c r="B32" s="142" t="s">
        <v>11</v>
      </c>
      <c r="C32" s="290">
        <f>'Chilled Water'!C25</f>
        <v/>
      </c>
      <c r="D32" s="290">
        <f>'Chilled Water'!D25</f>
        <v/>
      </c>
      <c r="E32" s="290">
        <f>'Chilled Water'!E25</f>
        <v/>
      </c>
      <c r="F32" s="290">
        <f>'Chilled Water'!F25</f>
        <v/>
      </c>
      <c r="G32" s="290">
        <f>'Chilled Water'!G25</f>
        <v/>
      </c>
      <c r="H32" s="290">
        <f>'Chilled Water'!H25</f>
        <v/>
      </c>
      <c r="I32" s="290">
        <f>'Chilled Water'!I25</f>
        <v/>
      </c>
      <c r="J32" s="290">
        <f>'Chilled Water'!J25</f>
        <v/>
      </c>
      <c r="K32" s="290">
        <f>'Chilled Water'!K25</f>
        <v/>
      </c>
      <c r="L32" s="290">
        <f>'Chilled Water'!L25</f>
        <v/>
      </c>
      <c r="M32" s="290">
        <f>'Chilled Water'!M25</f>
        <v/>
      </c>
      <c r="N32" s="290">
        <f>'Chilled Water'!N25</f>
        <v/>
      </c>
      <c r="O32" s="290">
        <f>SUM(C32:N32)</f>
        <v/>
      </c>
    </row>
    <row r="33" spans="1:17">
      <c r="A33" s="142" t="s">
        <v>20</v>
      </c>
      <c r="B33" s="274" t="s">
        <v>7</v>
      </c>
      <c r="C33" s="290">
        <f>Electricity!C41</f>
        <v/>
      </c>
      <c r="D33" s="290">
        <f>Electricity!D41</f>
        <v/>
      </c>
      <c r="E33" s="290">
        <f>Electricity!E41</f>
        <v/>
      </c>
      <c r="F33" s="290">
        <f>Electricity!F41</f>
        <v/>
      </c>
      <c r="G33" s="290">
        <f>Electricity!G41</f>
        <v/>
      </c>
      <c r="H33" s="290">
        <f>Electricity!H41</f>
        <v/>
      </c>
      <c r="I33" s="290">
        <f>Electricity!I41</f>
        <v/>
      </c>
      <c r="J33" s="290">
        <f>Electricity!J41</f>
        <v/>
      </c>
      <c r="K33" s="290">
        <f>Electricity!K41</f>
        <v/>
      </c>
      <c r="L33" s="290">
        <f>Electricity!L41</f>
        <v/>
      </c>
      <c r="M33" s="290">
        <f>Electricity!M41</f>
        <v/>
      </c>
      <c r="N33" s="290">
        <f>Electricity!N41</f>
        <v/>
      </c>
      <c r="O33" s="290">
        <f>SUM(C33:N33)</f>
        <v/>
      </c>
    </row>
    <row r="34" spans="1:17">
      <c r="A34" s="142" t="s">
        <v>19</v>
      </c>
      <c r="B34" s="274" t="s">
        <v>9</v>
      </c>
      <c r="C34" s="290">
        <f>1/24*(Gas!C$9+Gas!C$13)</f>
        <v/>
      </c>
      <c r="D34" s="290">
        <f>1/24*(Gas!D$9+Gas!D$13)</f>
        <v/>
      </c>
      <c r="E34" s="291">
        <f>1/24*(Gas!E$9+Gas!E$13)</f>
        <v/>
      </c>
      <c r="F34" s="290">
        <f>1/24*(Gas!F$9+Gas!F$13)</f>
        <v/>
      </c>
      <c r="G34" s="290">
        <f>1/24*(Gas!G$9+Gas!G$13)</f>
        <v/>
      </c>
      <c r="H34" s="292">
        <f>1/24*(Gas!H$9+Gas!H$13)</f>
        <v/>
      </c>
      <c r="I34" s="290">
        <f>1/24*(Gas!I$9+Gas!I$13)</f>
        <v/>
      </c>
      <c r="J34" s="292">
        <f>1/24*(Gas!J$9+Gas!J$13)</f>
        <v/>
      </c>
      <c r="K34" s="292">
        <f>1/24*(Gas!K$9+Gas!K$13)</f>
        <v/>
      </c>
      <c r="L34" s="292">
        <f>1/24*(Gas!L$9+Gas!L$13)</f>
        <v/>
      </c>
      <c r="M34" s="292">
        <f>1/24*(Gas!M$9+Gas!M$13)</f>
        <v/>
      </c>
      <c r="N34" s="292">
        <f>1/24*(Gas!N$9+Gas!N$13)</f>
        <v/>
      </c>
      <c r="O34" s="290">
        <f>TRUNC(SUM(C34:N34),2)</f>
        <v/>
      </c>
    </row>
    <row r="35" spans="1:17">
      <c r="A35" s="142" t="n"/>
      <c r="B35" s="142" t="s">
        <v>10</v>
      </c>
      <c r="C35" s="292">
        <f>Water!C36</f>
        <v/>
      </c>
      <c r="D35" s="292">
        <f>Water!D36</f>
        <v/>
      </c>
      <c r="E35" s="292">
        <f>Water!E36</f>
        <v/>
      </c>
      <c r="F35" s="292">
        <f>Water!F36</f>
        <v/>
      </c>
      <c r="G35" s="292">
        <f>Water!G36</f>
        <v/>
      </c>
      <c r="H35" s="290">
        <f>Water!H36</f>
        <v/>
      </c>
      <c r="I35" s="292">
        <f>Water!I36</f>
        <v/>
      </c>
      <c r="J35" s="290">
        <f>Water!J36</f>
        <v/>
      </c>
      <c r="K35" s="290">
        <f>Water!K36</f>
        <v/>
      </c>
      <c r="L35" s="290">
        <f>Water!L36</f>
        <v/>
      </c>
      <c r="M35" s="290">
        <f>Water!M36</f>
        <v/>
      </c>
      <c r="N35" s="290">
        <f>Water!N36</f>
        <v/>
      </c>
      <c r="O35" s="290">
        <f>TRUNC(SUM(C35:N35),2)</f>
        <v/>
      </c>
    </row>
    <row r="36" spans="1:17">
      <c r="A36" s="142" t="n"/>
      <c r="B36" s="142" t="s">
        <v>11</v>
      </c>
      <c r="C36" s="290">
        <f>'Chilled Water'!C28</f>
        <v/>
      </c>
      <c r="D36" s="290">
        <f>'Chilled Water'!D28</f>
        <v/>
      </c>
      <c r="E36" s="290">
        <f>'Chilled Water'!E28</f>
        <v/>
      </c>
      <c r="F36" s="290">
        <f>'Chilled Water'!F28</f>
        <v/>
      </c>
      <c r="G36" s="290">
        <f>'Chilled Water'!G28</f>
        <v/>
      </c>
      <c r="H36" s="290">
        <f>'Chilled Water'!H28</f>
        <v/>
      </c>
      <c r="I36" s="290">
        <f>'Chilled Water'!I28</f>
        <v/>
      </c>
      <c r="J36" s="290">
        <f>'Chilled Water'!J28</f>
        <v/>
      </c>
      <c r="K36" s="290">
        <f>'Chilled Water'!K28</f>
        <v/>
      </c>
      <c r="L36" s="290">
        <f>'Chilled Water'!L28</f>
        <v/>
      </c>
      <c r="M36" s="290">
        <f>'Chilled Water'!M28</f>
        <v/>
      </c>
      <c r="N36" s="290">
        <f>'Chilled Water'!N28</f>
        <v/>
      </c>
      <c r="O36" s="290">
        <f>TRUNC(SUM(C36:N36),2)</f>
        <v/>
      </c>
    </row>
    <row r="37" spans="1:17">
      <c r="A37" s="142" t="s">
        <v>21</v>
      </c>
      <c r="B37" s="274" t="s">
        <v>7</v>
      </c>
      <c r="C37" s="290">
        <f>Electricity!C38</f>
        <v/>
      </c>
      <c r="D37" s="290">
        <f>Electricity!D38</f>
        <v/>
      </c>
      <c r="E37" s="290">
        <f>Electricity!E38</f>
        <v/>
      </c>
      <c r="F37" s="290">
        <f>Electricity!F38</f>
        <v/>
      </c>
      <c r="G37" s="290">
        <f>Electricity!G38</f>
        <v/>
      </c>
      <c r="H37" s="290">
        <f>Electricity!H38</f>
        <v/>
      </c>
      <c r="I37" s="290">
        <f>Electricity!I38</f>
        <v/>
      </c>
      <c r="J37" s="290">
        <f>Electricity!J38</f>
        <v/>
      </c>
      <c r="K37" s="290">
        <f>Electricity!K38</f>
        <v/>
      </c>
      <c r="L37" s="290">
        <f>Electricity!L38</f>
        <v/>
      </c>
      <c r="M37" s="290">
        <f>Electricity!M38</f>
        <v/>
      </c>
      <c r="N37" s="290">
        <f>Electricity!N38</f>
        <v/>
      </c>
      <c r="O37" s="290">
        <f>TRUNC(SUM(C37:N37),2)</f>
        <v/>
      </c>
    </row>
    <row r="38" spans="1:17">
      <c r="A38" s="142" t="n"/>
      <c r="B38" s="274" t="s">
        <v>9</v>
      </c>
      <c r="C38" s="290">
        <f>2/24*(Gas!C$9+Gas!C$13)</f>
        <v/>
      </c>
      <c r="D38" s="290">
        <f>2/24*(Gas!D$9+Gas!D$13)</f>
        <v/>
      </c>
      <c r="E38" s="291">
        <f>2/24*(Gas!E$9+Gas!E$13)</f>
        <v/>
      </c>
      <c r="F38" s="290">
        <f>2/24*(Gas!F$9+Gas!F$13)</f>
        <v/>
      </c>
      <c r="G38" s="290">
        <f>2/24*(Gas!G$9+Gas!G$13)</f>
        <v/>
      </c>
      <c r="H38" s="290">
        <f>2/24*(Gas!H$9+Gas!H$13)</f>
        <v/>
      </c>
      <c r="I38" s="290">
        <f>2/24*(Gas!I$9+Gas!I$13)</f>
        <v/>
      </c>
      <c r="J38" s="290">
        <f>2/24*(Gas!J$9+Gas!J$13)</f>
        <v/>
      </c>
      <c r="K38" s="290">
        <f>2/24*(Gas!K$9+Gas!K$13)</f>
        <v/>
      </c>
      <c r="L38" s="290">
        <f>2/24*(Gas!L$9+Gas!L$13)</f>
        <v/>
      </c>
      <c r="M38" s="290">
        <f>2/24*(Gas!M$9+Gas!M$13)</f>
        <v/>
      </c>
      <c r="N38" s="290">
        <f>2/24*(Gas!N$9+Gas!N$13)</f>
        <v/>
      </c>
      <c r="O38" s="290">
        <f>TRUNC(SUM(C38:N38),2)</f>
        <v/>
      </c>
    </row>
    <row r="39" spans="1:17">
      <c r="A39" s="142" t="n"/>
      <c r="B39" s="142" t="s">
        <v>10</v>
      </c>
      <c r="C39" s="290">
        <f>Water!C39</f>
        <v/>
      </c>
      <c r="D39" s="290">
        <f>Water!D39</f>
        <v/>
      </c>
      <c r="E39" s="290">
        <f>Water!E39</f>
        <v/>
      </c>
      <c r="F39" s="290">
        <f>Water!F39</f>
        <v/>
      </c>
      <c r="G39" s="290">
        <f>Water!G39</f>
        <v/>
      </c>
      <c r="H39" s="290">
        <f>Water!H39</f>
        <v/>
      </c>
      <c r="I39" s="290">
        <f>Water!I39</f>
        <v/>
      </c>
      <c r="J39" s="290">
        <f>Water!J39</f>
        <v/>
      </c>
      <c r="K39" s="290">
        <f>Water!K39</f>
        <v/>
      </c>
      <c r="L39" s="290">
        <f>Water!L39</f>
        <v/>
      </c>
      <c r="M39" s="290">
        <f>Water!M39</f>
        <v/>
      </c>
      <c r="N39" s="290">
        <f>Water!N39</f>
        <v/>
      </c>
      <c r="O39" s="290">
        <f>TRUNC(SUM(C39:N39),2)</f>
        <v/>
      </c>
    </row>
    <row r="40" spans="1:17">
      <c r="A40" s="142" t="n"/>
      <c r="B40" s="142" t="s">
        <v>11</v>
      </c>
      <c r="C40" s="290">
        <f>'Chilled Water'!C32</f>
        <v/>
      </c>
      <c r="D40" s="290">
        <f>'Chilled Water'!D32</f>
        <v/>
      </c>
      <c r="E40" s="290">
        <f>'Chilled Water'!E32</f>
        <v/>
      </c>
      <c r="F40" s="290">
        <f>'Chilled Water'!F32</f>
        <v/>
      </c>
      <c r="G40" s="290">
        <f>'Chilled Water'!G32</f>
        <v/>
      </c>
      <c r="H40" s="290">
        <f>'Chilled Water'!H32</f>
        <v/>
      </c>
      <c r="I40" s="290">
        <f>'Chilled Water'!I32</f>
        <v/>
      </c>
      <c r="J40" s="290">
        <f>'Chilled Water'!J32</f>
        <v/>
      </c>
      <c r="K40" s="290">
        <f>'Chilled Water'!K32</f>
        <v/>
      </c>
      <c r="L40" s="290">
        <f>'Chilled Water'!L32</f>
        <v/>
      </c>
      <c r="M40" s="290">
        <f>'Chilled Water'!M32</f>
        <v/>
      </c>
      <c r="N40" s="290">
        <f>'Chilled Water'!N32</f>
        <v/>
      </c>
      <c r="O40" s="290">
        <f>TRUNC(SUM(C40:N40),2)</f>
        <v/>
      </c>
    </row>
    <row r="41" spans="1:17">
      <c r="A41" s="142" t="s">
        <v>22</v>
      </c>
      <c r="B41" s="274" t="s">
        <v>7</v>
      </c>
      <c r="C41" s="290">
        <f>Electricity!C19</f>
        <v/>
      </c>
      <c r="D41" s="290">
        <f>Electricity!D19</f>
        <v/>
      </c>
      <c r="E41" s="290">
        <f>Electricity!E19</f>
        <v/>
      </c>
      <c r="F41" s="290">
        <f>Electricity!F19</f>
        <v/>
      </c>
      <c r="G41" s="290">
        <f>Electricity!G19</f>
        <v/>
      </c>
      <c r="H41" s="290">
        <f>Electricity!H19</f>
        <v/>
      </c>
      <c r="I41" s="290">
        <f>Electricity!I19</f>
        <v/>
      </c>
      <c r="J41" s="290">
        <f>Electricity!J19</f>
        <v/>
      </c>
      <c r="K41" s="290">
        <f>Electricity!K19</f>
        <v/>
      </c>
      <c r="L41" s="290">
        <f>Electricity!L19</f>
        <v/>
      </c>
      <c r="M41" s="290">
        <f>Electricity!M19</f>
        <v/>
      </c>
      <c r="N41" s="290">
        <f>Electricity!N19</f>
        <v/>
      </c>
      <c r="O41" s="290">
        <f>TRUNC(SUM(C41:N41),2)</f>
        <v/>
      </c>
    </row>
    <row r="42" spans="1:17">
      <c r="A42" s="142" t="s">
        <v>19</v>
      </c>
      <c r="B42" s="274" t="s">
        <v>9</v>
      </c>
      <c r="C42" s="290">
        <f>2/24*(Gas!C$9+Gas!C$13)</f>
        <v/>
      </c>
      <c r="D42" s="290">
        <f>2/24*(Gas!D$9+Gas!D$13)</f>
        <v/>
      </c>
      <c r="E42" s="291">
        <f>2/24*(Gas!E$9+Gas!E$13)</f>
        <v/>
      </c>
      <c r="F42" s="290">
        <f>2/24*(Gas!F$9+Gas!F$13)</f>
        <v/>
      </c>
      <c r="G42" s="290">
        <f>2/24*(Gas!G$9+Gas!G$13)</f>
        <v/>
      </c>
      <c r="H42" s="290">
        <f>2/24*(Gas!H$9+Gas!H$13)</f>
        <v/>
      </c>
      <c r="I42" s="290">
        <f>2/24*(Gas!I$9+Gas!I$13)</f>
        <v/>
      </c>
      <c r="J42" s="290">
        <f>2/24*(Gas!J$9+Gas!J$13)</f>
        <v/>
      </c>
      <c r="K42" s="290">
        <f>2/24*(Gas!K$9+Gas!K$13)</f>
        <v/>
      </c>
      <c r="L42" s="290">
        <f>2/24*(Gas!L$9+Gas!L$13)</f>
        <v/>
      </c>
      <c r="M42" s="290">
        <f>2/24*(Gas!M$9+Gas!M$13)</f>
        <v/>
      </c>
      <c r="N42" s="290">
        <f>2/24*(Gas!N$9+Gas!N$13)</f>
        <v/>
      </c>
      <c r="O42" s="290">
        <f>TRUNC(SUM(C42:N42),2)</f>
        <v/>
      </c>
    </row>
    <row r="43" spans="1:17">
      <c r="A43" s="142" t="n"/>
      <c r="B43" s="142" t="s">
        <v>10</v>
      </c>
      <c r="C43" s="290">
        <f>Water!C42</f>
        <v/>
      </c>
      <c r="D43" s="290">
        <f>Water!D42</f>
        <v/>
      </c>
      <c r="E43" s="290">
        <f>Water!E42</f>
        <v/>
      </c>
      <c r="F43" s="290">
        <f>Water!F42</f>
        <v/>
      </c>
      <c r="G43" s="290">
        <f>Water!G42</f>
        <v/>
      </c>
      <c r="H43" s="290">
        <f>Water!H42</f>
        <v/>
      </c>
      <c r="I43" s="290">
        <f>Water!I42</f>
        <v/>
      </c>
      <c r="J43" s="290">
        <f>Water!J42</f>
        <v/>
      </c>
      <c r="K43" s="290">
        <f>Water!K42</f>
        <v/>
      </c>
      <c r="L43" s="290">
        <f>Water!L42</f>
        <v/>
      </c>
      <c r="M43" s="290">
        <f>Water!M42</f>
        <v/>
      </c>
      <c r="N43" s="290">
        <f>Water!N42</f>
        <v/>
      </c>
      <c r="O43" s="290">
        <f>TRUNC(SUM(C43:N43),2)</f>
        <v/>
      </c>
    </row>
    <row r="44" spans="1:17">
      <c r="A44" s="142" t="n"/>
      <c r="B44" s="142" t="s">
        <v>11</v>
      </c>
      <c r="C44" s="290">
        <f>'Chilled Water'!C35</f>
        <v/>
      </c>
      <c r="D44" s="290">
        <f>'Chilled Water'!D35</f>
        <v/>
      </c>
      <c r="E44" s="290">
        <f>'Chilled Water'!E35</f>
        <v/>
      </c>
      <c r="F44" s="290">
        <f>'Chilled Water'!F35</f>
        <v/>
      </c>
      <c r="G44" s="290">
        <f>'Chilled Water'!G35</f>
        <v/>
      </c>
      <c r="H44" s="290">
        <f>'Chilled Water'!H35</f>
        <v/>
      </c>
      <c r="I44" s="290">
        <f>'Chilled Water'!I35</f>
        <v/>
      </c>
      <c r="J44" s="290">
        <f>'Chilled Water'!J35</f>
        <v/>
      </c>
      <c r="K44" s="290">
        <f>'Chilled Water'!K35</f>
        <v/>
      </c>
      <c r="L44" s="290">
        <f>'Chilled Water'!L35</f>
        <v/>
      </c>
      <c r="M44" s="290">
        <f>'Chilled Water'!M35</f>
        <v/>
      </c>
      <c r="N44" s="290">
        <f>'Chilled Water'!N35</f>
        <v/>
      </c>
      <c r="O44" s="290">
        <f>TRUNC(SUM(C44:N44),2)</f>
        <v/>
      </c>
    </row>
    <row r="45" spans="1:17">
      <c r="A45" s="142" t="n"/>
      <c r="B45" s="142" t="n"/>
      <c r="C45" s="293" t="n"/>
      <c r="D45" s="290" t="n"/>
      <c r="E45" s="290" t="n"/>
      <c r="F45" s="290" t="n"/>
      <c r="G45" s="290" t="n"/>
      <c r="H45" s="290" t="n"/>
      <c r="I45" s="290" t="n"/>
      <c r="J45" s="290" t="n"/>
      <c r="K45" s="290" t="n"/>
      <c r="L45" s="290" t="n"/>
      <c r="M45" s="290" t="n"/>
      <c r="N45" s="290" t="n"/>
      <c r="O45" s="290" t="n"/>
    </row>
    <row r="46" spans="1:17">
      <c r="A46" s="142" t="s">
        <v>23</v>
      </c>
      <c r="B46" s="274" t="s">
        <v>7</v>
      </c>
      <c r="C46" s="290">
        <f>Electricity!C16</f>
        <v/>
      </c>
      <c r="D46" s="290">
        <f>Electricity!D16</f>
        <v/>
      </c>
      <c r="E46" s="290">
        <f>Electricity!E16</f>
        <v/>
      </c>
      <c r="F46" s="290">
        <f>Electricity!F16</f>
        <v/>
      </c>
      <c r="G46" s="290">
        <f>Electricity!G16</f>
        <v/>
      </c>
      <c r="H46" s="290">
        <f>Electricity!H16</f>
        <v/>
      </c>
      <c r="I46" s="290">
        <f>Electricity!I16</f>
        <v/>
      </c>
      <c r="J46" s="290">
        <f>Electricity!J16</f>
        <v/>
      </c>
      <c r="K46" s="290">
        <f>Electricity!K16</f>
        <v/>
      </c>
      <c r="L46" s="290">
        <f>Electricity!L16</f>
        <v/>
      </c>
      <c r="M46" s="290">
        <f>Electricity!M16</f>
        <v/>
      </c>
      <c r="N46" s="290">
        <f>Electricity!N16</f>
        <v/>
      </c>
      <c r="O46" s="290">
        <f>TRUNC(SUM(C46:N46),2)</f>
        <v/>
      </c>
    </row>
    <row r="47" spans="1:17">
      <c r="A47" s="142" t="s">
        <v>24</v>
      </c>
      <c r="B47" s="274" t="s">
        <v>9</v>
      </c>
      <c r="C47" s="290">
        <f>Gas!C17</f>
        <v/>
      </c>
      <c r="D47" s="290">
        <f>Gas!D17</f>
        <v/>
      </c>
      <c r="E47" s="291">
        <f>Gas!E17</f>
        <v/>
      </c>
      <c r="F47" s="290">
        <f>Gas!F17</f>
        <v/>
      </c>
      <c r="G47" s="290">
        <f>Gas!G17</f>
        <v/>
      </c>
      <c r="H47" s="290">
        <f>Gas!H17</f>
        <v/>
      </c>
      <c r="I47" s="290">
        <f>Gas!I17</f>
        <v/>
      </c>
      <c r="J47" s="290">
        <f>Gas!J17</f>
        <v/>
      </c>
      <c r="K47" s="290">
        <f>Gas!K17</f>
        <v/>
      </c>
      <c r="L47" s="290">
        <f>Gas!L17</f>
        <v/>
      </c>
      <c r="M47" s="290">
        <f>Gas!M17</f>
        <v/>
      </c>
      <c r="N47" s="290">
        <f>Gas!N17</f>
        <v/>
      </c>
      <c r="O47" s="290">
        <f>TRUNC(SUM(C47:N47),2)</f>
        <v/>
      </c>
    </row>
    <row r="48" spans="1:17">
      <c r="A48" s="142" t="n"/>
      <c r="B48" s="142" t="s">
        <v>10</v>
      </c>
      <c r="C48" s="290">
        <f>Water!C45</f>
        <v/>
      </c>
      <c r="D48" s="290">
        <f>Water!D45</f>
        <v/>
      </c>
      <c r="E48" s="290">
        <f>Water!E45</f>
        <v/>
      </c>
      <c r="F48" s="290">
        <f>Water!F45</f>
        <v/>
      </c>
      <c r="G48" s="290">
        <f>Water!G45</f>
        <v/>
      </c>
      <c r="H48" s="290">
        <f>Water!H45</f>
        <v/>
      </c>
      <c r="I48" s="290">
        <f>Water!I45</f>
        <v/>
      </c>
      <c r="J48" s="290">
        <f>Water!J45</f>
        <v/>
      </c>
      <c r="K48" s="290">
        <f>Water!K45</f>
        <v/>
      </c>
      <c r="L48" s="290">
        <f>Water!L45</f>
        <v/>
      </c>
      <c r="M48" s="290">
        <f>Water!M45</f>
        <v/>
      </c>
      <c r="N48" s="290">
        <f>Water!N45</f>
        <v/>
      </c>
      <c r="O48" s="290">
        <f>TRUNC(SUM(C48:N48),2)</f>
        <v/>
      </c>
    </row>
    <row r="49" spans="1:17">
      <c r="A49" s="142" t="n"/>
      <c r="B49" s="142" t="s">
        <v>11</v>
      </c>
      <c r="C49" s="290">
        <f>'Chilled Water'!C38</f>
        <v/>
      </c>
      <c r="D49" s="290">
        <f>'Chilled Water'!D38</f>
        <v/>
      </c>
      <c r="E49" s="290">
        <f>'Chilled Water'!E38</f>
        <v/>
      </c>
      <c r="F49" s="290">
        <f>'Chilled Water'!F38</f>
        <v/>
      </c>
      <c r="G49" s="290">
        <f>'Chilled Water'!G38</f>
        <v/>
      </c>
      <c r="H49" s="290">
        <f>'Chilled Water'!H38</f>
        <v/>
      </c>
      <c r="I49" s="290">
        <f>'Chilled Water'!I38</f>
        <v/>
      </c>
      <c r="J49" s="290">
        <f>'Chilled Water'!J38</f>
        <v/>
      </c>
      <c r="K49" s="290">
        <f>'Chilled Water'!K38</f>
        <v/>
      </c>
      <c r="L49" s="290">
        <f>'Chilled Water'!L38</f>
        <v/>
      </c>
      <c r="M49" s="290">
        <f>'Chilled Water'!M38</f>
        <v/>
      </c>
      <c r="N49" s="290">
        <f>'Chilled Water'!N38</f>
        <v/>
      </c>
      <c r="O49" s="290">
        <f>TRUNC(SUM(C49:N49),2)</f>
        <v/>
      </c>
    </row>
    <row r="50" spans="1:17">
      <c r="A50" s="142" t="n"/>
      <c r="B50" s="142" t="n"/>
      <c r="C50" s="142" t="n"/>
      <c r="D50" s="142" t="n"/>
      <c r="E50" s="142" t="n"/>
      <c r="F50" s="142" t="n"/>
      <c r="G50" s="142" t="n"/>
      <c r="H50" s="290" t="n"/>
      <c r="I50" s="142" t="n"/>
      <c r="J50" s="290" t="n"/>
      <c r="K50" s="290" t="n"/>
      <c r="L50" s="290" t="n"/>
      <c r="M50" s="290" t="n"/>
      <c r="N50" s="290" t="n"/>
      <c r="O50" s="290" t="n"/>
    </row>
    <row r="51" spans="1:17">
      <c r="A51" s="142" t="s">
        <v>25</v>
      </c>
      <c r="B51" s="274" t="s">
        <v>7</v>
      </c>
      <c r="C51" s="290">
        <f>Electricity!C13</f>
        <v/>
      </c>
      <c r="D51" s="290">
        <f>Electricity!D13</f>
        <v/>
      </c>
      <c r="E51" s="290">
        <f>Electricity!E13</f>
        <v/>
      </c>
      <c r="F51" s="290">
        <f>Electricity!F13</f>
        <v/>
      </c>
      <c r="G51" s="290">
        <f>Electricity!G13</f>
        <v/>
      </c>
      <c r="H51" s="290">
        <f>Electricity!H13</f>
        <v/>
      </c>
      <c r="I51" s="290">
        <f>Electricity!I13</f>
        <v/>
      </c>
      <c r="J51" s="290">
        <f>Electricity!J13</f>
        <v/>
      </c>
      <c r="K51" s="290">
        <f>Electricity!K13</f>
        <v/>
      </c>
      <c r="L51" s="290">
        <f>Electricity!L13</f>
        <v/>
      </c>
      <c r="M51" s="290">
        <f>Electricity!M13</f>
        <v/>
      </c>
      <c r="N51" s="290">
        <f>Electricity!N13</f>
        <v/>
      </c>
      <c r="O51" s="290">
        <f>TRUNC(SUM(C51:N51),2)</f>
        <v/>
      </c>
    </row>
    <row r="52" spans="1:17">
      <c r="A52" s="142" t="s">
        <v>26</v>
      </c>
      <c r="B52" s="274" t="s">
        <v>9</v>
      </c>
      <c r="C52" s="290">
        <f>Gas!C22</f>
        <v/>
      </c>
      <c r="D52" s="290">
        <f>Gas!D22</f>
        <v/>
      </c>
      <c r="E52" s="290">
        <f>Gas!E22</f>
        <v/>
      </c>
      <c r="F52" s="290">
        <f>Gas!F22</f>
        <v/>
      </c>
      <c r="G52" s="290">
        <f>Gas!G22</f>
        <v/>
      </c>
      <c r="H52" s="290">
        <f>Gas!H22</f>
        <v/>
      </c>
      <c r="I52" s="290">
        <f>Gas!I22</f>
        <v/>
      </c>
      <c r="J52" s="290">
        <f>Gas!J22</f>
        <v/>
      </c>
      <c r="K52" s="290">
        <f>Gas!K22</f>
        <v/>
      </c>
      <c r="L52" s="290">
        <f>Gas!L22</f>
        <v/>
      </c>
      <c r="M52" s="290">
        <f>Gas!M22</f>
        <v/>
      </c>
      <c r="N52" s="290">
        <f>Gas!N22</f>
        <v/>
      </c>
      <c r="O52" s="290">
        <f>TRUNC(SUM(C52:N52),2)</f>
        <v/>
      </c>
    </row>
    <row r="53" spans="1:17">
      <c r="A53" s="142" t="n"/>
      <c r="B53" s="142" t="s">
        <v>10</v>
      </c>
      <c r="C53" s="290">
        <f>Water!C48</f>
        <v/>
      </c>
      <c r="D53" s="290">
        <f>Water!D48</f>
        <v/>
      </c>
      <c r="E53" s="290">
        <f>Water!E48</f>
        <v/>
      </c>
      <c r="F53" s="290">
        <f>Water!F48</f>
        <v/>
      </c>
      <c r="G53" s="290">
        <f>Water!G48</f>
        <v/>
      </c>
      <c r="H53" s="290">
        <f>Water!H48</f>
        <v/>
      </c>
      <c r="I53" s="290">
        <f>Water!I48</f>
        <v/>
      </c>
      <c r="J53" s="290">
        <f>Water!J48</f>
        <v/>
      </c>
      <c r="K53" s="290">
        <f>Water!K48</f>
        <v/>
      </c>
      <c r="L53" s="290">
        <f>Water!L48</f>
        <v/>
      </c>
      <c r="M53" s="290">
        <f>Water!M48</f>
        <v/>
      </c>
      <c r="N53" s="290">
        <f>Water!N48</f>
        <v/>
      </c>
      <c r="O53" s="290">
        <f>TRUNC(SUM(C53:N53),2)</f>
        <v/>
      </c>
    </row>
    <row r="54" spans="1:17">
      <c r="A54" s="142" t="n"/>
      <c r="B54" s="142" t="s">
        <v>11</v>
      </c>
      <c r="C54" s="290">
        <f>'Chilled Water'!C41</f>
        <v/>
      </c>
      <c r="D54" s="290">
        <f>'Chilled Water'!D41</f>
        <v/>
      </c>
      <c r="E54" s="290">
        <f>'Chilled Water'!E41</f>
        <v/>
      </c>
      <c r="F54" s="290">
        <f>'Chilled Water'!F41</f>
        <v/>
      </c>
      <c r="G54" s="290">
        <f>'Chilled Water'!G41</f>
        <v/>
      </c>
      <c r="H54" s="290">
        <f>'Chilled Water'!H41</f>
        <v/>
      </c>
      <c r="I54" s="290">
        <f>'Chilled Water'!I41</f>
        <v/>
      </c>
      <c r="J54" s="290">
        <f>'Chilled Water'!J41</f>
        <v/>
      </c>
      <c r="K54" s="290">
        <f>'Chilled Water'!K41</f>
        <v/>
      </c>
      <c r="L54" s="290">
        <f>'Chilled Water'!L41</f>
        <v/>
      </c>
      <c r="M54" s="290">
        <f>'Chilled Water'!M41</f>
        <v/>
      </c>
      <c r="N54" s="290">
        <f>'Chilled Water'!N41</f>
        <v/>
      </c>
      <c r="O54" s="290">
        <f>TRUNC(SUM(C54:N54),2)</f>
        <v/>
      </c>
    </row>
    <row r="55" spans="1:17">
      <c r="A55" s="142" t="n"/>
      <c r="B55" s="142" t="n"/>
      <c r="C55" s="142" t="n"/>
      <c r="D55" s="142" t="n"/>
      <c r="E55" s="142" t="n"/>
      <c r="F55" s="142" t="n"/>
      <c r="G55" s="142" t="n"/>
      <c r="H55" s="290" t="n"/>
      <c r="I55" s="142" t="n"/>
      <c r="J55" s="290" t="n"/>
      <c r="K55" s="290" t="n"/>
      <c r="L55" s="290" t="n"/>
      <c r="M55" s="290" t="n"/>
      <c r="N55" s="290" t="n"/>
      <c r="O55" s="290" t="n"/>
    </row>
    <row r="56" spans="1:17">
      <c r="A56" s="142" t="s">
        <v>27</v>
      </c>
      <c r="B56" s="274" t="s">
        <v>7</v>
      </c>
      <c r="C56" s="290">
        <f>Electricity!C7</f>
        <v/>
      </c>
      <c r="D56" s="290">
        <f>Electricity!D7</f>
        <v/>
      </c>
      <c r="E56" s="290">
        <f>Electricity!E7</f>
        <v/>
      </c>
      <c r="F56" s="290">
        <f>Electricity!F7</f>
        <v/>
      </c>
      <c r="G56" s="290">
        <f>Electricity!G7</f>
        <v/>
      </c>
      <c r="H56" s="290">
        <f>Electricity!H7</f>
        <v/>
      </c>
      <c r="I56" s="290">
        <f>Electricity!I7</f>
        <v/>
      </c>
      <c r="J56" s="290">
        <f>Electricity!J7</f>
        <v/>
      </c>
      <c r="K56" s="290">
        <f>Electricity!K7</f>
        <v/>
      </c>
      <c r="L56" s="290">
        <f>Electricity!L7</f>
        <v/>
      </c>
      <c r="M56" s="290">
        <f>Electricity!M7</f>
        <v/>
      </c>
      <c r="N56" s="290">
        <f>Electricity!N7</f>
        <v/>
      </c>
      <c r="O56" s="290">
        <f>TRUNC(SUM(C56:N56),2)</f>
        <v/>
      </c>
      <c r="P56" s="142" t="n"/>
    </row>
    <row r="57" spans="1:17">
      <c r="A57" s="142" t="s">
        <v>28</v>
      </c>
      <c r="B57" s="274" t="s">
        <v>9</v>
      </c>
      <c r="C57" s="290">
        <f>Gas!C27</f>
        <v/>
      </c>
      <c r="D57" s="290">
        <f>Gas!D27</f>
        <v/>
      </c>
      <c r="E57" s="290">
        <f>Gas!E27</f>
        <v/>
      </c>
      <c r="F57" s="290">
        <f>Gas!F27</f>
        <v/>
      </c>
      <c r="G57" s="290">
        <f>Gas!G27</f>
        <v/>
      </c>
      <c r="H57" s="290">
        <f>Gas!H27</f>
        <v/>
      </c>
      <c r="I57" s="290">
        <f>Gas!I27</f>
        <v/>
      </c>
      <c r="J57" s="290">
        <f>Gas!J27</f>
        <v/>
      </c>
      <c r="K57" s="290">
        <f>Gas!K27</f>
        <v/>
      </c>
      <c r="L57" s="290">
        <f>Gas!L27</f>
        <v/>
      </c>
      <c r="M57" s="290">
        <f>Gas!M27</f>
        <v/>
      </c>
      <c r="N57" s="290">
        <f>Gas!N27</f>
        <v/>
      </c>
      <c r="O57" s="290">
        <f>TRUNC(SUM(C57:N57),2)</f>
        <v/>
      </c>
      <c r="P57" s="142" t="n"/>
    </row>
    <row r="58" spans="1:17">
      <c r="A58" s="142" t="n"/>
      <c r="B58" s="142" t="s">
        <v>10</v>
      </c>
      <c r="C58" s="290">
        <f>Water!C51</f>
        <v/>
      </c>
      <c r="D58" s="290">
        <f>Water!D51</f>
        <v/>
      </c>
      <c r="E58" s="290">
        <f>Water!E51</f>
        <v/>
      </c>
      <c r="F58" s="290">
        <f>Water!F51</f>
        <v/>
      </c>
      <c r="G58" s="290">
        <f>Water!G51</f>
        <v/>
      </c>
      <c r="H58" s="290">
        <f>Water!H51</f>
        <v/>
      </c>
      <c r="I58" s="290">
        <f>Water!I51</f>
        <v/>
      </c>
      <c r="J58" s="290">
        <f>Water!J51</f>
        <v/>
      </c>
      <c r="K58" s="290">
        <f>Water!K51</f>
        <v/>
      </c>
      <c r="L58" s="290">
        <f>Water!L51</f>
        <v/>
      </c>
      <c r="M58" s="290">
        <f>Water!M51</f>
        <v/>
      </c>
      <c r="N58" s="290">
        <f>Water!N51</f>
        <v/>
      </c>
      <c r="O58" s="290">
        <f>TRUNC(SUM(C58:N58),2)</f>
        <v/>
      </c>
      <c r="P58" s="142" t="n"/>
    </row>
    <row r="59" spans="1:17">
      <c r="A59" s="142" t="n"/>
      <c r="B59" s="142" t="s">
        <v>11</v>
      </c>
      <c r="C59" s="290">
        <f>'Chilled Water'!C44</f>
        <v/>
      </c>
      <c r="D59" s="290">
        <f>'Chilled Water'!D44</f>
        <v/>
      </c>
      <c r="E59" s="290">
        <f>'Chilled Water'!E44</f>
        <v/>
      </c>
      <c r="F59" s="290">
        <f>'Chilled Water'!F44</f>
        <v/>
      </c>
      <c r="G59" s="290">
        <f>'Chilled Water'!G44</f>
        <v/>
      </c>
      <c r="H59" s="290">
        <f>'Chilled Water'!H44</f>
        <v/>
      </c>
      <c r="I59" s="290">
        <f>'Chilled Water'!I44</f>
        <v/>
      </c>
      <c r="J59" s="290">
        <f>'Chilled Water'!J44</f>
        <v/>
      </c>
      <c r="K59" s="290">
        <f>'Chilled Water'!K44</f>
        <v/>
      </c>
      <c r="L59" s="290">
        <f>'Chilled Water'!L44</f>
        <v/>
      </c>
      <c r="M59" s="290">
        <f>'Chilled Water'!M44</f>
        <v/>
      </c>
      <c r="N59" s="290">
        <f>'Chilled Water'!N44</f>
        <v/>
      </c>
      <c r="O59" s="290">
        <f>TRUNC(SUM(C59:N59),2)</f>
        <v/>
      </c>
      <c r="P59" s="142" t="n"/>
    </row>
    <row r="60" spans="1:17">
      <c r="A60" s="142" t="n"/>
      <c r="B60" s="142" t="n"/>
      <c r="C60" s="290" t="n"/>
      <c r="D60" s="290" t="n"/>
      <c r="E60" s="290" t="n"/>
      <c r="F60" s="290" t="n"/>
      <c r="G60" s="290" t="n"/>
      <c r="H60" s="290" t="n"/>
      <c r="I60" s="290" t="n"/>
      <c r="J60" s="290" t="n"/>
      <c r="K60" s="290" t="n"/>
      <c r="L60" s="290" t="n"/>
      <c r="M60" s="290" t="n"/>
      <c r="N60" s="290" t="n"/>
      <c r="O60" s="290" t="n"/>
      <c r="P60" s="142" t="n"/>
    </row>
    <row r="61" spans="1:17">
      <c r="A61" s="142" t="s">
        <v>29</v>
      </c>
      <c r="B61" s="274" t="s">
        <v>7</v>
      </c>
      <c r="C61" s="290">
        <f>Electricity!C10</f>
        <v/>
      </c>
      <c r="D61" s="290">
        <f>Electricity!D10</f>
        <v/>
      </c>
      <c r="E61" s="290">
        <f>Electricity!E10</f>
        <v/>
      </c>
      <c r="F61" s="290">
        <f>Electricity!F10</f>
        <v/>
      </c>
      <c r="G61" s="290">
        <f>Electricity!G10</f>
        <v/>
      </c>
      <c r="H61" s="290">
        <f>Electricity!H10</f>
        <v/>
      </c>
      <c r="I61" s="290">
        <f>Electricity!I10</f>
        <v/>
      </c>
      <c r="J61" s="290">
        <f>Electricity!J10</f>
        <v/>
      </c>
      <c r="K61" s="290">
        <f>Electricity!K10</f>
        <v/>
      </c>
      <c r="L61" s="290">
        <f>Electricity!L10</f>
        <v/>
      </c>
      <c r="M61" s="290">
        <f>Electricity!M10</f>
        <v/>
      </c>
      <c r="N61" s="290">
        <f>Electricity!N10</f>
        <v/>
      </c>
      <c r="O61" s="290">
        <f>TRUNC(SUM(C61:N61),2)</f>
        <v/>
      </c>
      <c r="P61" s="142" t="n"/>
    </row>
    <row r="62" spans="1:17">
      <c r="A62" s="142" t="n"/>
      <c r="B62" s="274" t="s">
        <v>9</v>
      </c>
      <c r="C62" s="290">
        <f>Gas!C32</f>
        <v/>
      </c>
      <c r="D62" s="290">
        <f>Gas!D32</f>
        <v/>
      </c>
      <c r="E62" s="290">
        <f>Gas!E32</f>
        <v/>
      </c>
      <c r="F62" s="290">
        <f>Gas!F32</f>
        <v/>
      </c>
      <c r="G62" s="290">
        <f>Gas!G32</f>
        <v/>
      </c>
      <c r="H62" s="290">
        <f>Gas!H32</f>
        <v/>
      </c>
      <c r="I62" s="290">
        <f>Gas!I32</f>
        <v/>
      </c>
      <c r="J62" s="290">
        <f>Gas!J32</f>
        <v/>
      </c>
      <c r="K62" s="290">
        <f>Gas!K32</f>
        <v/>
      </c>
      <c r="L62" s="290">
        <f>Gas!L32</f>
        <v/>
      </c>
      <c r="M62" s="290">
        <f>Gas!M32</f>
        <v/>
      </c>
      <c r="N62" s="290">
        <f>Gas!N32</f>
        <v/>
      </c>
      <c r="O62" s="290">
        <f>TRUNC(SUM(C62:N62),2)</f>
        <v/>
      </c>
      <c r="P62" s="142" t="n"/>
    </row>
    <row r="63" spans="1:17">
      <c r="A63" s="142" t="n"/>
      <c r="B63" s="142" t="s">
        <v>10</v>
      </c>
      <c r="C63" s="290">
        <f>Water!C54</f>
        <v/>
      </c>
      <c r="D63" s="290">
        <f>Water!D54</f>
        <v/>
      </c>
      <c r="E63" s="290">
        <f>Water!E54</f>
        <v/>
      </c>
      <c r="F63" s="290">
        <f>Water!F54</f>
        <v/>
      </c>
      <c r="G63" s="290">
        <f>Water!G54</f>
        <v/>
      </c>
      <c r="H63" s="290">
        <f>Water!H54</f>
        <v/>
      </c>
      <c r="I63" s="290">
        <f>Water!I54</f>
        <v/>
      </c>
      <c r="J63" s="290">
        <f>Water!J54</f>
        <v/>
      </c>
      <c r="K63" s="290">
        <f>Water!K54</f>
        <v/>
      </c>
      <c r="L63" s="290">
        <f>Water!L54</f>
        <v/>
      </c>
      <c r="M63" s="290">
        <f>Water!M54</f>
        <v/>
      </c>
      <c r="N63" s="290">
        <f>Water!N54</f>
        <v/>
      </c>
      <c r="O63" s="290">
        <f>TRUNC(SUM(C63:N63),2)</f>
        <v/>
      </c>
      <c r="P63" s="142" t="n"/>
    </row>
    <row r="64" spans="1:17">
      <c r="A64" s="98" t="n"/>
      <c r="B64" s="98" t="s">
        <v>11</v>
      </c>
      <c r="C64" s="290">
        <f>'Chilled Water'!C47</f>
        <v/>
      </c>
      <c r="D64" s="290">
        <f>'Chilled Water'!D47</f>
        <v/>
      </c>
      <c r="E64" s="290">
        <f>'Chilled Water'!E47</f>
        <v/>
      </c>
      <c r="F64" s="290">
        <f>'Chilled Water'!F47</f>
        <v/>
      </c>
      <c r="G64" s="290">
        <f>'Chilled Water'!G47</f>
        <v/>
      </c>
      <c r="H64" s="290">
        <f>'Chilled Water'!H47</f>
        <v/>
      </c>
      <c r="I64" s="290">
        <f>'Chilled Water'!I47</f>
        <v/>
      </c>
      <c r="J64" s="290">
        <f>'Chilled Water'!J47</f>
        <v/>
      </c>
      <c r="K64" s="290">
        <f>'Chilled Water'!K47</f>
        <v/>
      </c>
      <c r="L64" s="290">
        <f>'Chilled Water'!L47</f>
        <v/>
      </c>
      <c r="M64" s="290">
        <f>'Chilled Water'!M47</f>
        <v/>
      </c>
      <c r="N64" s="290">
        <f>'Chilled Water'!N47</f>
        <v/>
      </c>
      <c r="O64" s="290">
        <f>TRUNC(SUM(C64:N64),2)</f>
        <v/>
      </c>
      <c r="P64" s="142" t="n"/>
    </row>
    <row r="65" spans="1:17">
      <c r="A65" s="142" t="n"/>
      <c r="B65" s="142" t="n"/>
      <c r="C65" s="127" t="n"/>
      <c r="D65" s="127" t="n"/>
      <c r="E65" s="127" t="n"/>
      <c r="F65" s="127" t="n"/>
      <c r="G65" s="127" t="n"/>
      <c r="H65" s="294" t="n"/>
      <c r="I65" s="127" t="n"/>
      <c r="J65" s="295" t="n"/>
      <c r="K65" s="294" t="n"/>
      <c r="L65" s="294" t="n"/>
      <c r="M65" s="294" t="n"/>
      <c r="N65" s="294" t="n"/>
      <c r="O65" s="127" t="n"/>
      <c r="P65" s="142" t="n"/>
    </row>
    <row r="66" spans="1:17">
      <c r="A66" s="142" t="n"/>
      <c r="B66" s="274" t="s">
        <v>7</v>
      </c>
      <c r="C66" s="290">
        <f>C5+C9+C13+C17+C21+C25+C29+C33+C37+C41+C46+C51+C56+C61</f>
        <v/>
      </c>
      <c r="D66" s="290">
        <f>D5+D9+D13+D17+D21+D25+D29+D33+D37+D41+D46+D51+D56+D61</f>
        <v/>
      </c>
      <c r="E66" s="290">
        <f>E5+E9+E13+E17+E21+E25+E29+E33+E37+E41+E46+E51+E56+E61</f>
        <v/>
      </c>
      <c r="F66" s="296">
        <f>F5+F9+F13+F17+F21+F25+F29+F33+F37+F41+F46+F51+F56+F61</f>
        <v/>
      </c>
      <c r="G66" s="290">
        <f>G5+G9+G13+G17+G21+G25+G29+G33+G37+G41+G46+G51+G56+G61</f>
        <v/>
      </c>
      <c r="H66" s="290">
        <f>H5+H9+H13+H17+H21+H25+H29+H33+H37+H41+H46+H51+H56+H61</f>
        <v/>
      </c>
      <c r="I66" s="290">
        <f>I5+I9+I13+I17+I21+I25+I29+I33+I37+I41+I46+I51+I56+I61</f>
        <v/>
      </c>
      <c r="J66" s="296">
        <f>J5+J9+J13+J17+J21+J25+J29+J33+J37+J41+J46+J51+J56+J61</f>
        <v/>
      </c>
      <c r="K66" s="290">
        <f>K5+K9+K13+K17+K21+K25+K29+K33+K37+K41+K46+K51+K56+K61</f>
        <v/>
      </c>
      <c r="L66" s="290">
        <f>L5+L9+L13+L17+L21+L25+L29+L33+L37+L41+L46+L51+L56+L61</f>
        <v/>
      </c>
      <c r="M66" s="296">
        <f>ROUND(M5+M9+M13+M17+M21+M25+M29+M33+M37+M41+M46+M51+M56+M61,2)</f>
        <v/>
      </c>
      <c r="N66" s="296">
        <f>TRUNC(N5+N9+N13+N17+N21+N25+N29+N33+N37+N41+N46+N51+N56+N61,2)</f>
        <v/>
      </c>
      <c r="O66" s="290">
        <f>TRUNC(O5+O9+O13+O17+O21+O25+O29+O33+O37+O41+O46+O51+O56+O61,2)</f>
        <v/>
      </c>
      <c r="P66" s="290">
        <f>TRUNC(SUM(C66:N66),2)</f>
        <v/>
      </c>
    </row>
    <row r="67" spans="1:17">
      <c r="A67" s="142" t="n"/>
      <c r="B67" s="274" t="s">
        <v>9</v>
      </c>
      <c r="C67" s="290">
        <f>ROUND(C6+C10+C14+C18+C22+C26+C30+C34+C38+C42+C47+C52+C57+C62,2)</f>
        <v/>
      </c>
      <c r="D67" s="290">
        <f>ROUND(D6+D10+D14+D18+D22+D26+D30+D34+D38+D42+D47+D52+D57+D62,2)</f>
        <v/>
      </c>
      <c r="E67" s="290">
        <f>ROUND(E6+E10+E14+E18+E22+E26+E30+E34+E38+E42+E47+E52+E57+E62,2)</f>
        <v/>
      </c>
      <c r="F67" s="290">
        <f>ROUND(F6+F10+F14+F18+F22+F26+F30+F34+F38+F42+F47+F52+F57+F62,2)</f>
        <v/>
      </c>
      <c r="G67" s="290">
        <f>ROUND(G6+G10+G14+G18+G22+G26+G30+G34+G38+G42+G47+G52+G57+G62,2)</f>
        <v/>
      </c>
      <c r="H67" s="290">
        <f>ROUND(H6+H10+H14+H18+H22+H26+H30+H34+H38+H42+H47+H52+H57+H62,2)</f>
        <v/>
      </c>
      <c r="I67" s="290">
        <f>ROUND(I6+I10+I14+I18+I22+I26+I30+I34+I38+I42+I47+I52+I57+I62,2)</f>
        <v/>
      </c>
      <c r="J67" s="296">
        <f>ROUND(J6+J10+J14+J18+J22+J26+J30+J34+J38+J42+J47+J52+J57+J62,2)</f>
        <v/>
      </c>
      <c r="K67" s="290">
        <f>ROUND(K6+K10+K14+K18+K22+K26+K30+K34+K38+K42+K47+K52+K57+K62,2)</f>
        <v/>
      </c>
      <c r="L67" s="290">
        <f>ROUND(L6+L10+L14+L18+L22+L26+L30+L34+L38+L42+L47+L52+L57+L62,2)</f>
        <v/>
      </c>
      <c r="M67" s="290">
        <f>ROUND(M6+M10+M14+M18+M22+M26+M30+M34+M38+M42+M47+M52+M57+M62,2)</f>
        <v/>
      </c>
      <c r="N67" s="290">
        <f>ROUND(N6+N10+N14+N18+N22+N26+N30+N34+N38+N42+N47+N52+N57+N62,2)</f>
        <v/>
      </c>
      <c r="O67" s="290">
        <f>ROUND(O6+O10+O14+O18+O22+O26+O30+O34+O38+O42+O47+O52+O57+O62,2)</f>
        <v/>
      </c>
      <c r="P67" s="290">
        <f>TRUNC(SUM(C67:N67),2)</f>
        <v/>
      </c>
    </row>
    <row r="68" spans="1:17">
      <c r="A68" s="142" t="n"/>
      <c r="B68" s="142" t="s">
        <v>10</v>
      </c>
      <c r="C68" s="290">
        <f>C7+C11+C15+C19+C23+C27+C31+C35+C39+C43+C48+C53+C58+C63</f>
        <v/>
      </c>
      <c r="D68" s="290">
        <f>D7+D11+D15+D19+D23+D27+D31+D35+D39+D43+D48+D53+D58+D63</f>
        <v/>
      </c>
      <c r="E68" s="290">
        <f>E7+E11+E15+E19+E23+E27+E31+E35+E39+E43+E48+E53+E58+E63</f>
        <v/>
      </c>
      <c r="F68" s="296">
        <f>F7+F11+F15+F19+F23+F27+F31+F35+F39+F43+F48+F53+F58+F63</f>
        <v/>
      </c>
      <c r="G68" s="290">
        <f>G7+G11+G15+G19+G23+G27+G31+G35+G39+G43+G48+G53+G58+G63</f>
        <v/>
      </c>
      <c r="H68" s="290">
        <f>H7+H11+H15+H19+H23+H27+H31+H35+H39+H43+H48+H53+H58+H63</f>
        <v/>
      </c>
      <c r="I68" s="290">
        <f>I7+I11+I15+I19+I23+I27+I31+I35+I39+I43+I48+I53+I58+I63</f>
        <v/>
      </c>
      <c r="J68" s="296">
        <f>J7+J11+J15+J19+J23+J27+J31+J35+J39+J43+J48+J53+J58+J63</f>
        <v/>
      </c>
      <c r="K68" s="290">
        <f>K7+K11+K15+K19+K23+K27+K31+K35+K39+K43+K48+K53+K58+K63</f>
        <v/>
      </c>
      <c r="L68" s="290">
        <f>L7+L11+L15+L19+L23+L27+L31+L35+L39+L43+L48+L53+L58+L63</f>
        <v/>
      </c>
      <c r="M68" s="296">
        <f>ROUND(M7+M11+M15+M19+M23+M27+M31+M35+M39+M43+M48+M53+M58+M63,2)</f>
        <v/>
      </c>
      <c r="N68" s="296">
        <f>TRUNC(N7+N11+N15+N19+N23+N27+N31+N35+N39+N43+N48+N53+N58+N63,2)</f>
        <v/>
      </c>
      <c r="O68" s="290">
        <f>TRUNC(O7+O11+O15+O19+O23+O27+O31+O35+O39+O43+O48+O53+O58+O63,2)</f>
        <v/>
      </c>
      <c r="P68" s="290">
        <f>TRUNC(SUM(C68:N68),2)</f>
        <v/>
      </c>
    </row>
    <row r="69" spans="1:17">
      <c r="A69" s="142" t="n"/>
      <c r="B69" s="142" t="s">
        <v>11</v>
      </c>
      <c r="C69" s="290">
        <f>C8+C12+C16+C20+C24+C28+C32+C36+C40+C44+C49+C54+C59+C64</f>
        <v/>
      </c>
      <c r="D69" s="290">
        <f>D8+D12+D16+D20+D24+D28+D32+D36+D40+D44+D49+D54+D59+D64</f>
        <v/>
      </c>
      <c r="E69" s="290">
        <f>E8+E12+E16+E20+E24+E28+E32+E36+E40+E44+E49+E54+E59+E64</f>
        <v/>
      </c>
      <c r="F69" s="296">
        <f>F8+F12+F16+F20+F24+F28+F32+F36+F40+F44+F49+F54+F59+F64</f>
        <v/>
      </c>
      <c r="G69" s="290">
        <f>G8+G12+G16+G20+G24+G28+G32+G36+G40+G44+G49+G54+G59+G64</f>
        <v/>
      </c>
      <c r="H69" s="290">
        <f>H8+H12+H16+H20+H24+H28+H32+H36+H40+H44+H49+H54+H59+H64</f>
        <v/>
      </c>
      <c r="I69" s="290">
        <f>I8+I12+I16+I20+I24+I28+I32+I36+I40+I44+I49+I54+I59+I64</f>
        <v/>
      </c>
      <c r="J69" s="296">
        <f>J8+J12+J16+J20+J24+J28+J32+J36+J40+J44+J49+J54+J59+J64</f>
        <v/>
      </c>
      <c r="K69" s="290">
        <f>K8+K12+K16+K20+K24+K28+K32+K36+K40+K44+K49+K54+K59+K64</f>
        <v/>
      </c>
      <c r="L69" s="296">
        <f>ROUND(L8+L12+L16+L20+L24+L28+L32+L36+L40+L44+L49+L54+L59+L64,2)</f>
        <v/>
      </c>
      <c r="M69" s="296">
        <f>ROUND(M8+M12+M16+M20+M24+M28+M32+M36+M40+M44+M49+M54+M59+M64,2)</f>
        <v/>
      </c>
      <c r="N69" s="296">
        <f>TRUNC(N8+N12+N16+N20+N24+N28+N32+N36+N40+N44+N49+N54+N59+N64,2)</f>
        <v/>
      </c>
      <c r="O69" s="290">
        <f>TRUNC(O8+O12+O16+O20+O24+O28+O32+O36+O40+O44+O49+O54+O59+O64,2)</f>
        <v/>
      </c>
      <c r="P69" s="290">
        <f>TRUNC(SUM(C69:N69),2)</f>
        <v/>
      </c>
    </row>
    <row r="70" spans="1:17">
      <c r="A70" s="142" t="s">
        <v>1</v>
      </c>
      <c r="C70" s="294">
        <f>SUM(C66:C69)</f>
        <v/>
      </c>
      <c r="D70" s="294">
        <f>SUM(D66:D69)</f>
        <v/>
      </c>
      <c r="E70" s="294">
        <f>SUM(E66:E69)</f>
        <v/>
      </c>
      <c r="F70" s="295">
        <f>SUM(F66:F69)</f>
        <v/>
      </c>
      <c r="G70" s="295">
        <f>SUM(G66:G69)</f>
        <v/>
      </c>
      <c r="H70" s="297">
        <f>SUM(H66:H69)</f>
        <v/>
      </c>
      <c r="I70" s="294">
        <f>SUM(I66:I69)</f>
        <v/>
      </c>
      <c r="J70" s="297">
        <f>SUM(J66:J69)</f>
        <v/>
      </c>
      <c r="K70" s="297">
        <f>SUM(K66:K69)</f>
        <v/>
      </c>
      <c r="L70" s="297">
        <f>SUM(L66:L69)</f>
        <v/>
      </c>
      <c r="M70" s="295">
        <f>SUM(M66:M69)</f>
        <v/>
      </c>
      <c r="N70" s="295">
        <f>SUM(N66:N69)</f>
        <v/>
      </c>
      <c r="O70" s="294">
        <f>ROUND(SUM(C70:N70),2)</f>
        <v/>
      </c>
      <c r="P70" s="290">
        <f>SUM(C70:N70)</f>
        <v/>
      </c>
    </row>
    <row r="71" spans="1:17">
      <c r="C71" s="290" t="n"/>
      <c r="D71" s="290" t="n"/>
      <c r="E71" s="290" t="n"/>
      <c r="F71" s="290" t="n"/>
      <c r="G71" s="290" t="n"/>
      <c r="H71" s="290" t="n"/>
      <c r="I71" s="290" t="n"/>
      <c r="J71" s="290" t="n"/>
      <c r="K71" s="290" t="n"/>
      <c r="L71" s="290" t="n"/>
      <c r="M71" s="290" t="n"/>
      <c r="N71" s="290" t="n"/>
      <c r="O71" s="296" t="n"/>
      <c r="Q71" s="290" t="n"/>
    </row>
    <row hidden="1" r="72" s="3" spans="1:17">
      <c r="C72" s="290" t="n"/>
      <c r="D72" s="290" t="n"/>
      <c r="E72" s="290" t="n"/>
      <c r="F72" s="290" t="n"/>
      <c r="G72" s="290" t="n"/>
      <c r="H72" s="290" t="n"/>
      <c r="I72" s="290" t="n"/>
      <c r="J72" s="290" t="n"/>
      <c r="K72" s="290" t="n"/>
      <c r="L72" s="292" t="n"/>
      <c r="M72" s="290" t="n"/>
      <c r="N72" s="290" t="n"/>
      <c r="O72" s="290" t="n"/>
    </row>
    <row hidden="1" r="73" s="3" spans="1:17">
      <c r="A73" s="142" t="n"/>
      <c r="B73" s="298" t="s">
        <v>30</v>
      </c>
      <c r="C73" s="299">
        <f>C66-Electricity!C66</f>
        <v/>
      </c>
      <c r="D73" s="299">
        <f>D66-Electricity!D66</f>
        <v/>
      </c>
      <c r="E73" s="299">
        <f>E66-Electricity!E66</f>
        <v/>
      </c>
      <c r="F73" s="299">
        <f>F66-Electricity!F66</f>
        <v/>
      </c>
      <c r="G73" s="299">
        <f>G66-Electricity!G66</f>
        <v/>
      </c>
      <c r="H73" s="299">
        <f>H66-Electricity!H66</f>
        <v/>
      </c>
      <c r="I73" s="299">
        <f>I66-Electricity!I66</f>
        <v/>
      </c>
      <c r="J73" s="299">
        <f>J66-Electricity!J66</f>
        <v/>
      </c>
      <c r="K73" s="299">
        <f>K66-Electricity!K66</f>
        <v/>
      </c>
      <c r="L73" s="299">
        <f>L66-Electricity!L66</f>
        <v/>
      </c>
      <c r="M73" s="290">
        <f>M66-Electricity!M66</f>
        <v/>
      </c>
      <c r="N73" s="290">
        <f>N66-Electricity!N66</f>
        <v/>
      </c>
      <c r="O73" s="300" t="n"/>
      <c r="Q73" s="290" t="n"/>
    </row>
    <row hidden="1" r="74" s="3" spans="1:17">
      <c r="A74" s="142" t="n"/>
      <c r="B74" s="298" t="s">
        <v>31</v>
      </c>
      <c r="C74" s="299">
        <f>C67-Gas!C36</f>
        <v/>
      </c>
      <c r="D74" s="299">
        <f>D67-Gas!D36</f>
        <v/>
      </c>
      <c r="E74" s="299">
        <f>E67-Gas!E36</f>
        <v/>
      </c>
      <c r="F74" s="299">
        <f>F67-Gas!F36</f>
        <v/>
      </c>
      <c r="G74" s="299">
        <f>G67-Gas!G36</f>
        <v/>
      </c>
      <c r="H74" s="299">
        <f>H67-Gas!H36</f>
        <v/>
      </c>
      <c r="I74" s="299">
        <f>I67-Gas!I36</f>
        <v/>
      </c>
      <c r="J74" s="299">
        <f>J67-Gas!J36</f>
        <v/>
      </c>
      <c r="K74" s="299">
        <f>K67-Gas!K36</f>
        <v/>
      </c>
      <c r="L74" s="299">
        <f>L67-Gas!L36</f>
        <v/>
      </c>
      <c r="M74" s="290">
        <f>M67-Gas!M36</f>
        <v/>
      </c>
      <c r="N74" s="301">
        <f>N67-Gas!N36</f>
        <v/>
      </c>
      <c r="O74" s="300" t="n"/>
    </row>
    <row hidden="1" r="75" s="3" spans="1:17">
      <c r="A75" s="142" t="n"/>
      <c r="B75" s="298" t="s">
        <v>32</v>
      </c>
      <c r="C75" s="299">
        <f>C68-Water!C57</f>
        <v/>
      </c>
      <c r="D75" s="299">
        <f>D68-Water!D57</f>
        <v/>
      </c>
      <c r="E75" s="299">
        <f>E68-Water!E57</f>
        <v/>
      </c>
      <c r="F75" s="299">
        <f>F68-Water!F57</f>
        <v/>
      </c>
      <c r="G75" s="299">
        <f>G68-Water!G57</f>
        <v/>
      </c>
      <c r="H75" s="299">
        <f>H68-Water!H57</f>
        <v/>
      </c>
      <c r="I75" s="299">
        <f>I68-Water!I57</f>
        <v/>
      </c>
      <c r="J75" s="299">
        <f>J68-Water!J57</f>
        <v/>
      </c>
      <c r="K75" s="299">
        <f>K68-Water!K57</f>
        <v/>
      </c>
      <c r="L75" s="299">
        <f>L68-Water!L57</f>
        <v/>
      </c>
      <c r="M75" s="290">
        <f>M68-Water!M57</f>
        <v/>
      </c>
      <c r="N75" s="301">
        <f>N68-Water!N57</f>
        <v/>
      </c>
      <c r="O75" s="300" t="n"/>
      <c r="P75" s="290" t="n"/>
    </row>
    <row hidden="1" r="76" s="3" spans="1:17">
      <c r="A76" s="142" t="n"/>
      <c r="B76" s="298" t="s">
        <v>33</v>
      </c>
      <c r="C76" s="299">
        <f>C69-'Chilled Water'!C52</f>
        <v/>
      </c>
      <c r="D76" s="299">
        <f>D69-'Chilled Water'!D52</f>
        <v/>
      </c>
      <c r="E76" s="299">
        <f>E69-'Chilled Water'!E52</f>
        <v/>
      </c>
      <c r="F76" s="299">
        <f>F69-'Chilled Water'!F52</f>
        <v/>
      </c>
      <c r="G76" s="299">
        <f>G69-'Chilled Water'!G52</f>
        <v/>
      </c>
      <c r="H76" s="299">
        <f>H69-'Chilled Water'!H52</f>
        <v/>
      </c>
      <c r="I76" s="299">
        <f>I69-'Chilled Water'!I52</f>
        <v/>
      </c>
      <c r="J76" s="299">
        <f>J69-'Chilled Water'!J52</f>
        <v/>
      </c>
      <c r="K76" s="299">
        <f>K69-'Chilled Water'!K52</f>
        <v/>
      </c>
      <c r="L76" s="299">
        <f>L69-'Chilled Water'!L52</f>
        <v/>
      </c>
      <c r="M76" s="290">
        <f>M69-'Chilled Water'!M52</f>
        <v/>
      </c>
      <c r="N76" s="301">
        <f>N69-'Chilled Water'!N52</f>
        <v/>
      </c>
      <c r="O76" s="300" t="n"/>
    </row>
    <row r="77" spans="1:17">
      <c r="D77" s="290" t="n"/>
      <c r="E77" s="290" t="n"/>
      <c r="O77" s="290" t="n"/>
    </row>
    <row r="78" spans="1:17">
      <c r="A78" s="142" t="s">
        <v>34</v>
      </c>
      <c r="G78" s="290" t="n"/>
      <c r="K78" s="290" t="n"/>
    </row>
    <row r="79" spans="1:17">
      <c r="A79" s="142" t="s">
        <v>35</v>
      </c>
      <c r="M79" s="290" t="n"/>
      <c r="N79" s="290" t="n"/>
      <c r="P79" s="290" t="n"/>
      <c r="Q79" s="290" t="n"/>
    </row>
    <row r="80" spans="1:17">
      <c r="A80" s="139" t="s">
        <v>36</v>
      </c>
      <c r="P80" s="290" t="n"/>
      <c r="Q80" s="290" t="n"/>
    </row>
    <row r="81" spans="1:17">
      <c r="A81" s="139" t="s">
        <v>37</v>
      </c>
      <c r="P81" s="290" t="n"/>
      <c r="Q81" s="290" t="n"/>
    </row>
    <row r="82" spans="1:17">
      <c r="A82" s="139" t="s">
        <v>38</v>
      </c>
      <c r="P82" s="290" t="n"/>
      <c r="Q82" s="290" t="n"/>
    </row>
    <row r="83" spans="1:17">
      <c r="A83" s="139" t="s">
        <v>39</v>
      </c>
    </row>
    <row r="84" spans="1:17">
      <c r="A84" s="139" t="s">
        <v>40</v>
      </c>
    </row>
    <row r="85" spans="1:17">
      <c r="A85" s="139" t="s">
        <v>41</v>
      </c>
    </row>
    <row r="86" spans="1:17">
      <c r="A86" s="139" t="s">
        <v>42</v>
      </c>
    </row>
    <row r="87" spans="1:17">
      <c r="A87" s="139" t="s">
        <v>43</v>
      </c>
    </row>
    <row r="88" spans="1:17">
      <c r="A88" s="139" t="s">
        <v>44</v>
      </c>
    </row>
    <row r="89" spans="1:17">
      <c r="A89" s="142" t="s">
        <v>45</v>
      </c>
    </row>
    <row r="90" spans="1:17">
      <c r="A90" s="137" t="n"/>
    </row>
  </sheetData>
  <printOptions horizontalCentered="1"/>
  <pageMargins bottom="0.5" footer="0.5" header="0.5" left="0" right="0" top="0.5"/>
  <pageSetup orientation="portrait" scale="77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S75"/>
  <sheetViews>
    <sheetView workbookViewId="0" zoomScale="110" zoomScaleNormal="85">
      <pane activePane="bottomLeft" state="frozen" topLeftCell="A6" ySplit="5"/>
      <selection activeCell="J26" pane="bottomLeft" sqref="J26"/>
    </sheetView>
  </sheetViews>
  <sheetFormatPr baseColWidth="8" defaultColWidth="9.140625" defaultRowHeight="12" outlineLevelCol="0"/>
  <cols>
    <col customWidth="1" max="1" min="1" style="226" width="18.5703125"/>
    <col customWidth="1" max="2" min="2" style="226" width="11"/>
    <col customWidth="1" hidden="1" max="3" min="3" style="226" width="11.85546875"/>
    <col customWidth="1" hidden="1" max="4" min="4" style="226" width="11"/>
    <col customWidth="1" hidden="1" max="5" min="5" style="226" width="14.28515625"/>
    <col customWidth="1" hidden="1" max="6" min="6" style="226" width="11.7109375"/>
    <col customWidth="1" hidden="1" max="9" min="7" style="226" width="11"/>
    <col customWidth="1" max="10" min="10" style="226" width="11.28515625"/>
    <col customWidth="1" hidden="1" max="14" min="11" style="226" width="11"/>
    <col customWidth="1" hidden="1" max="16" min="15" style="226" width="12"/>
    <col customWidth="1" max="18" min="17" style="226" width="9.140625"/>
    <col customWidth="1" max="16384" min="19" style="226" width="9.140625"/>
  </cols>
  <sheetData>
    <row r="1" spans="1:19">
      <c r="A1" s="167" t="s">
        <v>7</v>
      </c>
      <c r="C1" s="167" t="n"/>
      <c r="D1" s="167" t="n"/>
      <c r="E1" s="226" t="s">
        <v>16</v>
      </c>
      <c r="N1" s="226" t="n"/>
    </row>
    <row r="2" spans="1:19">
      <c r="F2" s="273" t="n"/>
      <c r="I2" s="275" t="n"/>
      <c r="J2" s="226" t="n"/>
    </row>
    <row r="3" spans="1:19">
      <c r="A3" s="169" t="s">
        <v>3</v>
      </c>
      <c r="B3" s="169" t="s">
        <v>4</v>
      </c>
      <c r="C3" s="302">
        <f>'Utility Summary'!C3</f>
        <v/>
      </c>
      <c r="D3" s="303">
        <f>'Utility Summary'!D3</f>
        <v/>
      </c>
      <c r="E3" s="303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90" t="s">
        <v>1</v>
      </c>
      <c r="P3" s="170" t="n"/>
    </row>
    <row customFormat="1" r="4" s="304" spans="1:19">
      <c r="A4" s="304" t="n"/>
      <c r="B4" s="305" t="s">
        <v>46</v>
      </c>
      <c r="C4" s="304" t="n">
        <v>42585</v>
      </c>
      <c r="D4" s="304" t="n">
        <v>42980</v>
      </c>
      <c r="E4" s="304" t="n">
        <v>43013</v>
      </c>
      <c r="F4" s="304" t="n">
        <v>42675</v>
      </c>
      <c r="G4" s="304" t="n">
        <v>42705</v>
      </c>
      <c r="H4" s="304" t="n">
        <v>42740</v>
      </c>
      <c r="I4" s="304" t="n">
        <v>43101</v>
      </c>
      <c r="J4" s="304" t="n">
        <v>43160</v>
      </c>
      <c r="K4" s="304" t="n">
        <v>42826</v>
      </c>
      <c r="L4" s="304" t="n">
        <v>42492</v>
      </c>
      <c r="M4" s="304" t="n">
        <v>42537</v>
      </c>
      <c r="N4" s="304" t="n">
        <v>42190</v>
      </c>
      <c r="O4" s="306" t="n"/>
      <c r="P4" s="174" t="n"/>
    </row>
    <row customFormat="1" customHeight="1" ht="24" r="5" s="179" spans="1:19">
      <c r="A5" s="176" t="n"/>
      <c r="B5" s="178" t="s">
        <v>47</v>
      </c>
      <c r="C5" s="307">
        <f>(126961.92+159448.01+1556.39+39787.05)/(1912930+0+266705)</f>
        <v/>
      </c>
      <c r="D5" s="308">
        <f>(139749+177842.04+1457.83+34522.94)/(1974066+0+231418)</f>
        <v/>
      </c>
      <c r="E5" s="309">
        <f>(185076.27+1457.83+134966.15+29901.04)/(2094283+0+200436)</f>
        <v/>
      </c>
      <c r="F5" s="308">
        <f>(149298.66+1507.11+119543.93+30874.59)/(1633178+0+206962)</f>
        <v/>
      </c>
      <c r="G5" s="307">
        <f>(110625.2+127231.05+1367.15+19692.82)/(1619564+0+128787)</f>
        <v/>
      </c>
      <c r="H5" s="308">
        <f>(119751.42+21491.19+1408.55+103923)/(1575343+140548)</f>
        <v/>
      </c>
      <c r="I5" s="308">
        <f>(114810.28+126949.47+14854.14+1506.62)/(1684658+97143)</f>
        <v/>
      </c>
      <c r="J5" s="310">
        <f>(122407.06+27007.58+107322.26+1506.62)/(1574771+0+176624)</f>
        <v/>
      </c>
      <c r="K5" s="308">
        <f>(119751.42+21491.19+1408.55+103923)/(1575343+140548)</f>
        <v/>
      </c>
      <c r="L5" s="308">
        <f>(119751.42+21491.19+1408.55+103923)/(1575343+140548)</f>
        <v/>
      </c>
      <c r="M5" s="308">
        <f>(119751.42+21491.19+1408.55+103923)/(1575343+140548)</f>
        <v/>
      </c>
      <c r="N5" s="308">
        <f>(119751.42+21491.19+1408.55+103923)/(1575343+140548)</f>
        <v/>
      </c>
      <c r="O5" s="308">
        <f>(119751.42+21491.19+1408.55+103923)/(1575343+140548)</f>
        <v/>
      </c>
      <c r="P5" s="178" t="n"/>
    </row>
    <row customHeight="1" ht="24" r="6" s="3" spans="1:19">
      <c r="A6" s="226" t="s">
        <v>48</v>
      </c>
      <c r="B6" s="227" t="s">
        <v>49</v>
      </c>
      <c r="C6" s="257">
        <f>29792.4849/(2879/2976)</f>
        <v/>
      </c>
      <c r="D6" s="257">
        <f>35026.84/(2927/2976)</f>
        <v/>
      </c>
      <c r="E6" s="273">
        <f>46058.3616905212/(2880/2880)</f>
        <v/>
      </c>
      <c r="F6" s="273">
        <f>47685.726/(2970/2976)</f>
        <v/>
      </c>
      <c r="G6" s="273">
        <f>41384.413/(2880/2880)</f>
        <v/>
      </c>
      <c r="H6" s="273">
        <f>34543.091/(2976/2976)</f>
        <v/>
      </c>
      <c r="I6" s="273">
        <f>35132.37/(2976/2976)</f>
        <v/>
      </c>
      <c r="J6" s="273">
        <f>38286.5889577865/(38286.5889577865/2688)</f>
        <v/>
      </c>
      <c r="K6" s="273">
        <f>40520.9137/(2972/2976)</f>
        <v/>
      </c>
      <c r="L6" s="273">
        <f>35874.659/(2831/2880)</f>
        <v/>
      </c>
      <c r="M6" s="273">
        <f>31446.1678/(2933/2976)</f>
        <v/>
      </c>
      <c r="N6" s="273">
        <f>21565.63/(2227/2880)</f>
        <v/>
      </c>
      <c r="O6" s="193">
        <f>SUM(C6:N6)</f>
        <v/>
      </c>
      <c r="Q6" s="273" t="n"/>
    </row>
    <row r="7" spans="1:19">
      <c r="A7" s="226" t="n"/>
      <c r="B7" s="227" t="s">
        <v>50</v>
      </c>
      <c r="C7" s="255">
        <f>ROUND(C6*C$5,2)</f>
        <v/>
      </c>
      <c r="D7" s="255">
        <f>ROUND(D6*D$5,2)</f>
        <v/>
      </c>
      <c r="E7" s="255">
        <f>ROUND(E6*E$5,2)</f>
        <v/>
      </c>
      <c r="F7" s="255">
        <f>ROUND(F6*F$5,2)</f>
        <v/>
      </c>
      <c r="G7" s="255">
        <f>ROUND(G6*G$5,2)</f>
        <v/>
      </c>
      <c r="H7" s="255">
        <f>ROUND(H6*H$5,2)</f>
        <v/>
      </c>
      <c r="I7" s="255">
        <f>ROUND(I6*I$5,2)</f>
        <v/>
      </c>
      <c r="J7" s="255">
        <f>(122407+1506.62+27007+107322.26)/(1574771+0+176624)</f>
        <v/>
      </c>
      <c r="K7" s="255">
        <f>ROUND(K6*K$5,2)</f>
        <v/>
      </c>
      <c r="L7" s="255">
        <f>ROUND(L6*L$5,2)</f>
        <v/>
      </c>
      <c r="M7" s="255">
        <f>ROUND(M6*M$5,2)</f>
        <v/>
      </c>
      <c r="N7" s="255">
        <f>ROUND(N6*N$5,2)</f>
        <v/>
      </c>
      <c r="O7" s="311">
        <f>SUM(C7:N7)</f>
        <v/>
      </c>
    </row>
    <row customFormat="1" r="8" s="226" spans="1:19">
      <c r="A8" s="226" t="n"/>
      <c r="B8" s="226" t="n"/>
      <c r="C8" s="226" t="n"/>
      <c r="D8" s="226" t="n"/>
      <c r="E8" s="226" t="n"/>
      <c r="F8" s="226" t="n"/>
      <c r="G8" s="226" t="n"/>
      <c r="H8" s="278" t="n"/>
      <c r="I8" s="278" t="n"/>
      <c r="J8" s="278" t="n"/>
      <c r="K8" s="278" t="n"/>
      <c r="L8" s="278" t="n"/>
      <c r="M8" s="278" t="n"/>
      <c r="N8" s="278" t="n"/>
      <c r="O8" s="192" t="n"/>
    </row>
    <row customHeight="1" ht="24" r="9" s="3" spans="1:19">
      <c r="A9" s="226" t="s">
        <v>51</v>
      </c>
      <c r="B9" s="227" t="s">
        <v>49</v>
      </c>
      <c r="C9" s="273">
        <f>31612.5418/(2675/2976)</f>
        <v/>
      </c>
      <c r="D9" s="273">
        <f>35318.66/(2955/2976)</f>
        <v/>
      </c>
      <c r="E9" s="273">
        <f>44944.3/(2880/2880)</f>
        <v/>
      </c>
      <c r="F9" s="273">
        <f>47876.594/(2970/2976)</f>
        <v/>
      </c>
      <c r="G9" s="273">
        <f>44577.086/(2879/2880)</f>
        <v/>
      </c>
      <c r="H9" s="273">
        <f>36245.624/(2976/2976)</f>
        <v/>
      </c>
      <c r="I9" s="273">
        <f>40652.99/(2976/2976)</f>
        <v/>
      </c>
      <c r="J9" s="273">
        <f>44180.3690188596/(44180.3690188596/2688)</f>
        <v/>
      </c>
      <c r="K9" s="273">
        <f>42685.139/(2832/2976)</f>
        <v/>
      </c>
      <c r="L9" s="273">
        <f>46863.346/(2876/2880)</f>
        <v/>
      </c>
      <c r="M9" s="273">
        <f>28739.17/(2206/2976)</f>
        <v/>
      </c>
      <c r="N9" s="273">
        <f>23373.452/(2147/2880)</f>
        <v/>
      </c>
      <c r="O9" s="193">
        <f>SUM(C9:N9)</f>
        <v/>
      </c>
    </row>
    <row r="10" spans="1:19">
      <c r="A10" s="226" t="n"/>
      <c r="B10" s="226" t="s">
        <v>50</v>
      </c>
      <c r="C10" s="312">
        <f>ROUND(C9*C$5,2)</f>
        <v/>
      </c>
      <c r="D10" s="312">
        <f>ROUND(D9*D$5,2)</f>
        <v/>
      </c>
      <c r="E10" s="312">
        <f>ROUND(E9*E$5,2)</f>
        <v/>
      </c>
      <c r="F10" s="312">
        <f>ROUND(F9*F$5,2)</f>
        <v/>
      </c>
      <c r="G10" s="312">
        <f>ROUND(G9*G$5,2)</f>
        <v/>
      </c>
      <c r="H10" s="312">
        <f>ROUND(H9*H$5,2)</f>
        <v/>
      </c>
      <c r="I10" s="312">
        <f>ROUND(I9*I$5,2)</f>
        <v/>
      </c>
      <c r="J10" s="312">
        <f>ROUND(J9*J$5,2)</f>
        <v/>
      </c>
      <c r="K10" s="312">
        <f>ROUND(K9*K$5,2)</f>
        <v/>
      </c>
      <c r="L10" s="312">
        <f>ROUND(L9*L$5,2)</f>
        <v/>
      </c>
      <c r="M10" s="312">
        <f>ROUND(M9*M$5,2)</f>
        <v/>
      </c>
      <c r="N10" s="312">
        <f>ROUND(N9*N$5,2)</f>
        <v/>
      </c>
      <c r="O10" s="311">
        <f>SUM(C10:N10)</f>
        <v/>
      </c>
    </row>
    <row r="11" spans="1:19">
      <c r="A11" s="226" t="n"/>
      <c r="B11" s="226" t="n"/>
      <c r="C11" s="312" t="n"/>
      <c r="D11" s="312" t="n"/>
      <c r="E11" s="312" t="n"/>
      <c r="F11" s="312" t="n"/>
      <c r="G11" s="312" t="n"/>
      <c r="H11" s="312" t="n"/>
      <c r="I11" s="312" t="n"/>
      <c r="J11" s="312" t="n"/>
      <c r="K11" s="312" t="n"/>
      <c r="L11" s="312" t="n"/>
      <c r="M11" s="312" t="n"/>
      <c r="N11" s="312" t="n"/>
      <c r="O11" s="311" t="n"/>
    </row>
    <row customHeight="1" ht="24" r="12" s="3" spans="1:19">
      <c r="A12" s="226" t="s">
        <v>52</v>
      </c>
      <c r="B12" s="227" t="s">
        <v>49</v>
      </c>
      <c r="C12" s="257">
        <f>23273.877/(2878/2976)</f>
        <v/>
      </c>
      <c r="D12" s="257">
        <f>(28200.79/(2927/2976))</f>
        <v/>
      </c>
      <c r="E12" s="273">
        <f>34717.74495/(2880/2880)</f>
        <v/>
      </c>
      <c r="F12" s="273">
        <f>34385.384/(2970/2976)</f>
        <v/>
      </c>
      <c r="G12" s="273">
        <f>30576.0257/(2878/2880)</f>
        <v/>
      </c>
      <c r="H12" s="273">
        <f>30037.416/(2972/2976)</f>
        <v/>
      </c>
      <c r="I12" s="273">
        <f>29520.06/(2846/2976)</f>
        <v/>
      </c>
      <c r="J12" s="273">
        <f>30818.7770757675/(30818.7770757675/2688)</f>
        <v/>
      </c>
      <c r="K12" s="273">
        <f>32820.853/(2972/2976)</f>
        <v/>
      </c>
      <c r="L12" s="273">
        <f>29719.767/(2831/2880)</f>
        <v/>
      </c>
      <c r="M12" s="273">
        <f>25194.2095/(2915/2976)</f>
        <v/>
      </c>
      <c r="N12" s="273">
        <f>16038.544/(2227/2880)</f>
        <v/>
      </c>
      <c r="O12" s="193">
        <f>SUM(C12:N12)</f>
        <v/>
      </c>
    </row>
    <row r="13" spans="1:19">
      <c r="A13" s="226" t="n"/>
      <c r="B13" s="226" t="s">
        <v>50</v>
      </c>
      <c r="C13" s="312">
        <f>ROUND(C12*C$5,2)</f>
        <v/>
      </c>
      <c r="D13" s="312">
        <f>ROUND(D12*D$5,2)</f>
        <v/>
      </c>
      <c r="E13" s="312">
        <f>ROUND(E12*E$5,2)</f>
        <v/>
      </c>
      <c r="F13" s="312">
        <f>ROUND(F12*F$5,2)</f>
        <v/>
      </c>
      <c r="G13" s="312">
        <f>ROUND(G12*G$5,2)</f>
        <v/>
      </c>
      <c r="H13" s="312">
        <f>ROUND(H12*H$5,2)</f>
        <v/>
      </c>
      <c r="I13" s="312">
        <f>ROUND(I12*I$5,2)</f>
        <v/>
      </c>
      <c r="J13" s="312">
        <f>ROUND(J12*J$5,2)</f>
        <v/>
      </c>
      <c r="K13" s="312">
        <f>ROUND(K12*K$5,2)</f>
        <v/>
      </c>
      <c r="L13" s="312">
        <f>ROUND(L12*L$5,2)</f>
        <v/>
      </c>
      <c r="M13" s="312">
        <f>ROUND(M12*M$5,2)</f>
        <v/>
      </c>
      <c r="N13" s="312">
        <f>ROUND(N12*N$5,2)</f>
        <v/>
      </c>
      <c r="O13" s="311">
        <f>SUM(C13:N13)</f>
        <v/>
      </c>
    </row>
    <row r="14" spans="1:19">
      <c r="A14" s="226" t="n"/>
      <c r="B14" s="226" t="n"/>
      <c r="C14" s="312" t="n"/>
      <c r="D14" s="312" t="n"/>
      <c r="E14" s="312" t="n"/>
      <c r="F14" s="312" t="n"/>
      <c r="G14" s="312" t="n"/>
      <c r="H14" s="312" t="n"/>
      <c r="I14" s="312" t="n"/>
      <c r="J14" s="312" t="n"/>
      <c r="K14" s="312" t="n"/>
      <c r="L14" s="312" t="n"/>
      <c r="M14" s="312" t="n"/>
      <c r="N14" s="312" t="n"/>
      <c r="O14" s="311" t="n"/>
    </row>
    <row customHeight="1" ht="24" r="15" s="3" spans="1:19">
      <c r="A15" s="226" t="s">
        <v>53</v>
      </c>
      <c r="B15" s="227" t="s">
        <v>49</v>
      </c>
      <c r="C15" s="273">
        <f>3345/(2976/2976)</f>
        <v/>
      </c>
      <c r="D15" s="273">
        <f>646.6527/(2976/2976)</f>
        <v/>
      </c>
      <c r="E15" s="270">
        <f>246.598/(2874/2880)</f>
        <v/>
      </c>
      <c r="F15" s="273">
        <f>59794.07/(2976/2976)</f>
        <v/>
      </c>
      <c r="G15" s="270">
        <f>48801.33/(2876/2880)</f>
        <v/>
      </c>
      <c r="H15" s="273">
        <f>(23402+34271)/2</f>
        <v/>
      </c>
      <c r="I15" s="273">
        <f>AVERAGE([1]Electricity!$I$48,[2]Electricity!$I$48)</f>
        <v/>
      </c>
      <c r="J15" s="273">
        <f>0/(0/2688)</f>
        <v/>
      </c>
      <c r="K15" s="270" t="n">
        <v>69652.39999999999</v>
      </c>
      <c r="L15" s="273">
        <f>30286.654/(2877/2880)</f>
        <v/>
      </c>
      <c r="M15" s="273">
        <f>26493.86/(2623/2976)</f>
        <v/>
      </c>
      <c r="N15" s="273">
        <f>14653.46/(1864/2880)</f>
        <v/>
      </c>
      <c r="O15" s="193">
        <f>SUM(C15:N15)</f>
        <v/>
      </c>
      <c r="Q15" s="273" t="n"/>
    </row>
    <row r="16" spans="1:19">
      <c r="A16" s="226" t="n"/>
      <c r="B16" s="226" t="s">
        <v>50</v>
      </c>
      <c r="C16" s="312">
        <f>ROUND(C15*C$5,2)</f>
        <v/>
      </c>
      <c r="D16" s="312">
        <f>ROUND(D15*D$5,2)</f>
        <v/>
      </c>
      <c r="E16" s="312">
        <f>ROUND(E15*E$5,2)</f>
        <v/>
      </c>
      <c r="F16" s="312">
        <f>ROUND(F15*F$5,2)</f>
        <v/>
      </c>
      <c r="G16" s="312">
        <f>ROUND(G15*G$5,2)</f>
        <v/>
      </c>
      <c r="H16" s="312">
        <f>ROUND(H15*H$5,2)</f>
        <v/>
      </c>
      <c r="I16" s="312">
        <f>ROUND(I15*I$5,2)</f>
        <v/>
      </c>
      <c r="J16" s="312">
        <f>ROUND(J15*J$5,2)</f>
        <v/>
      </c>
      <c r="K16" s="312">
        <f>ROUND(K15*K$5,2)</f>
        <v/>
      </c>
      <c r="L16" s="312">
        <f>ROUND(L15*L$5,2)</f>
        <v/>
      </c>
      <c r="M16" s="312">
        <f>ROUND(M15*M$5,2)</f>
        <v/>
      </c>
      <c r="N16" s="312">
        <f>ROUND(N15*N$5,2)</f>
        <v/>
      </c>
      <c r="O16" s="311">
        <f>SUM(C16:N16)</f>
        <v/>
      </c>
    </row>
    <row r="17" spans="1:19">
      <c r="A17" s="226" t="n"/>
      <c r="B17" s="226" t="n"/>
      <c r="C17" s="312" t="n"/>
      <c r="D17" s="312" t="n"/>
      <c r="E17" s="312" t="n"/>
      <c r="F17" s="312" t="n"/>
      <c r="G17" s="312" t="n"/>
      <c r="H17" s="312" t="n"/>
      <c r="I17" s="312" t="n"/>
      <c r="J17" s="312" t="n"/>
      <c r="K17" s="312" t="n"/>
      <c r="L17" s="312" t="n"/>
      <c r="M17" s="312" t="n"/>
      <c r="N17" s="312" t="n"/>
      <c r="O17" s="311" t="n"/>
    </row>
    <row customHeight="1" ht="24" r="18" s="3" spans="1:19">
      <c r="A18" s="226" t="s">
        <v>54</v>
      </c>
      <c r="B18" s="227" t="s">
        <v>49</v>
      </c>
      <c r="C18" s="273">
        <f>4237/(2974/2976)</f>
        <v/>
      </c>
      <c r="D18" s="273">
        <f>5173.8/(2954/2976)</f>
        <v/>
      </c>
      <c r="E18" s="273">
        <f>6879.376/(2877/2880)</f>
        <v/>
      </c>
      <c r="F18" s="273">
        <f>6736.876/(2970/2976)</f>
        <v/>
      </c>
      <c r="G18" s="273">
        <f>6245.626/(2879/2880)</f>
        <v/>
      </c>
      <c r="H18" s="273">
        <f>4451.25/(2706/2976)</f>
        <v/>
      </c>
      <c r="I18" s="273">
        <f>AVERAGE(4643,4654)</f>
        <v/>
      </c>
      <c r="J18" s="273">
        <f>6071.25077199935/(6071.25077199935/2688)</f>
        <v/>
      </c>
      <c r="K18" s="281">
        <f>5613.7507/(2955/2976)</f>
        <v/>
      </c>
      <c r="L18" s="273">
        <f>5670/(2843/2880)</f>
        <v/>
      </c>
      <c r="M18" s="273">
        <f>3851.2504/(2864/2976)</f>
        <v/>
      </c>
      <c r="N18" s="273">
        <f>2634.225/(2747/2880)</f>
        <v/>
      </c>
      <c r="O18" s="193">
        <f>SUM(C18:N18)</f>
        <v/>
      </c>
      <c r="Q18" s="273" t="n"/>
    </row>
    <row r="19" spans="1:19">
      <c r="A19" s="226" t="n"/>
      <c r="B19" s="226" t="s">
        <v>50</v>
      </c>
      <c r="C19" s="312">
        <f>ROUND(C18*C$5,2)</f>
        <v/>
      </c>
      <c r="D19" s="312">
        <f>ROUND(D18*D$5,2)</f>
        <v/>
      </c>
      <c r="E19" s="312">
        <f>ROUND(E18*E$5,2)</f>
        <v/>
      </c>
      <c r="F19" s="312">
        <f>ROUND(F18*F$5,2)</f>
        <v/>
      </c>
      <c r="G19" s="312">
        <f>ROUND(G18*G$5,2)</f>
        <v/>
      </c>
      <c r="H19" s="312">
        <f>ROUND(H18*H$5,2)</f>
        <v/>
      </c>
      <c r="I19" s="312">
        <f>ROUND(I18*I$5,2)</f>
        <v/>
      </c>
      <c r="J19" s="312">
        <f>ROUND(J18*J$5,2)</f>
        <v/>
      </c>
      <c r="K19" s="312">
        <f>ROUND(K18*K$5,2)</f>
        <v/>
      </c>
      <c r="L19" s="312">
        <f>ROUND(L18*L$5,2)</f>
        <v/>
      </c>
      <c r="M19" s="312">
        <f>ROUND(M18*M$5,2)</f>
        <v/>
      </c>
      <c r="N19" s="312">
        <f>ROUND(N18*N$5,2)</f>
        <v/>
      </c>
      <c r="O19" s="311">
        <f>SUM(C19:N19)</f>
        <v/>
      </c>
    </row>
    <row customFormat="1" r="20" s="226" spans="1:19">
      <c r="A20" s="226" t="n"/>
      <c r="B20" s="226" t="n"/>
      <c r="C20" s="226" t="n"/>
      <c r="D20" s="226" t="n"/>
      <c r="E20" s="226" t="n"/>
      <c r="F20" s="226" t="n"/>
      <c r="G20" s="226" t="n"/>
      <c r="H20" s="278" t="n"/>
      <c r="I20" s="278" t="n"/>
      <c r="J20" s="278" t="n"/>
      <c r="K20" s="278" t="n"/>
      <c r="L20" s="278" t="n"/>
      <c r="M20" s="278" t="n"/>
      <c r="N20" s="278" t="n"/>
      <c r="O20" s="192" t="n"/>
    </row>
    <row customHeight="1" ht="24" r="21" s="3" spans="1:19">
      <c r="A21" s="227" t="s">
        <v>55</v>
      </c>
      <c r="B21" s="227" t="s">
        <v>56</v>
      </c>
      <c r="C21" s="273">
        <f>2528612</f>
        <v/>
      </c>
      <c r="D21" s="273" t="n">
        <v>2345807</v>
      </c>
      <c r="E21" s="273" t="n">
        <v>2566544</v>
      </c>
      <c r="F21" s="273" t="n">
        <v>2589207</v>
      </c>
      <c r="G21" s="273" t="n">
        <v>2612102</v>
      </c>
      <c r="H21" s="273" t="n">
        <v>2623847</v>
      </c>
      <c r="I21" s="273" t="n">
        <v>2639619</v>
      </c>
      <c r="J21" s="273">
        <f>3470.62538170814/(3470.62538170814/2688)</f>
        <v/>
      </c>
      <c r="K21" s="273" t="n">
        <v>2680920</v>
      </c>
      <c r="L21" s="273" t="n">
        <v>2472306</v>
      </c>
      <c r="M21" s="273" t="n">
        <v>2488598</v>
      </c>
      <c r="N21" s="273" t="n">
        <v>2507788</v>
      </c>
      <c r="O21" s="192" t="n"/>
    </row>
    <row customHeight="1" ht="24" r="22" s="3" spans="1:19">
      <c r="A22" s="227" t="n"/>
      <c r="B22" s="227" t="s">
        <v>49</v>
      </c>
      <c r="C22" s="273">
        <f>2528612-2507788</f>
        <v/>
      </c>
      <c r="D22" s="273">
        <f>ABS(28*(D21-C21)/(D4-C4))</f>
        <v/>
      </c>
      <c r="E22" s="273">
        <f>ABS(28*(E21-D21)/(E4-D4))</f>
        <v/>
      </c>
      <c r="F22" s="273">
        <f>F21-E21</f>
        <v/>
      </c>
      <c r="G22" s="273">
        <f>(G21-F21)</f>
        <v/>
      </c>
      <c r="H22" s="273">
        <f>(H21-F21)</f>
        <v/>
      </c>
      <c r="I22" s="273">
        <f>I21-H21</f>
        <v/>
      </c>
      <c r="J22" s="273">
        <f>J21-I21</f>
        <v/>
      </c>
      <c r="K22" s="273">
        <f>(K21-J21)</f>
        <v/>
      </c>
      <c r="L22" s="273">
        <f>L21-K21</f>
        <v/>
      </c>
      <c r="M22" s="273">
        <f>M21-L21</f>
        <v/>
      </c>
      <c r="N22" s="273">
        <f>N21-M21</f>
        <v/>
      </c>
      <c r="O22" s="193">
        <f>SUM(C22:N22)</f>
        <v/>
      </c>
      <c r="P22" s="273" t="n"/>
      <c r="Q22" s="273" t="n"/>
      <c r="R22" s="184" t="n"/>
      <c r="S22" s="226" t="n"/>
    </row>
    <row r="23" spans="1:19">
      <c r="A23" s="226" t="n"/>
      <c r="B23" s="226" t="s">
        <v>50</v>
      </c>
      <c r="C23" s="312">
        <f>ROUND(C22*C$5,2)</f>
        <v/>
      </c>
      <c r="D23" s="312">
        <f>ROUND(D22*D$5,2)</f>
        <v/>
      </c>
      <c r="E23" s="312">
        <f>ROUND(E22*E$5,2)</f>
        <v/>
      </c>
      <c r="F23" s="312">
        <f>ROUND(F22*F$5,2)</f>
        <v/>
      </c>
      <c r="G23" s="312">
        <f>ROUND(G22*G$5,2)</f>
        <v/>
      </c>
      <c r="H23" s="312">
        <f>ROUND(H22*H$5,2)</f>
        <v/>
      </c>
      <c r="I23" s="312">
        <f>ROUND(I22*I$5,2)</f>
        <v/>
      </c>
      <c r="J23" s="312">
        <f>ROUND(J22*J$5,2)</f>
        <v/>
      </c>
      <c r="K23" s="312">
        <f>ROUND(K22*K$5,2)</f>
        <v/>
      </c>
      <c r="L23" s="312">
        <f>ROUND(L22*L$5,2)</f>
        <v/>
      </c>
      <c r="M23" s="312">
        <f>ROUND(M22*M$5,2)</f>
        <v/>
      </c>
      <c r="N23" s="312">
        <f>ROUND(N22*N$5,2)</f>
        <v/>
      </c>
      <c r="O23" s="311">
        <f>SUM(C23:N23)</f>
        <v/>
      </c>
      <c r="P23" s="304" t="n"/>
      <c r="Q23" s="304" t="n"/>
      <c r="R23" s="184" t="n"/>
    </row>
    <row r="24" spans="1:19">
      <c r="A24" s="226" t="n"/>
      <c r="B24" s="226" t="n"/>
      <c r="C24" s="312" t="n"/>
      <c r="D24" s="312" t="n"/>
      <c r="E24" s="312" t="n"/>
      <c r="F24" s="312" t="n"/>
      <c r="G24" s="312" t="n"/>
      <c r="H24" s="312" t="n"/>
      <c r="I24" s="312" t="n"/>
      <c r="J24" s="312">
        <f>2733.75034761428/(2733.75034761428/2688)</f>
        <v/>
      </c>
      <c r="K24" s="312" t="n"/>
      <c r="L24" s="312" t="n"/>
      <c r="M24" s="312" t="n"/>
      <c r="N24" s="312" t="n"/>
      <c r="O24" s="311" t="n"/>
      <c r="P24" s="304" t="n"/>
      <c r="Q24" s="304" t="n"/>
      <c r="R24" s="184" t="n"/>
    </row>
    <row customHeight="1" ht="24" r="25" s="3" spans="1:19">
      <c r="A25" s="226" t="s">
        <v>57</v>
      </c>
      <c r="B25" s="227" t="s">
        <v>49</v>
      </c>
      <c r="C25" s="273">
        <f>1620/(2972/2976)</f>
        <v/>
      </c>
      <c r="D25" s="273">
        <f>2284.01/(2974/2976)</f>
        <v/>
      </c>
      <c r="E25" s="280">
        <f>2838.75/(2880/2880)</f>
        <v/>
      </c>
      <c r="F25" s="273">
        <f>2878.125/(2970/2976)</f>
        <v/>
      </c>
      <c r="G25" s="273">
        <f>2726.25/(2879/2880)</f>
        <v/>
      </c>
      <c r="H25" s="273">
        <f>2055/(2706/2976)</f>
        <v/>
      </c>
      <c r="I25" s="273">
        <f>AVERAGE(1983,1996)</f>
        <v/>
      </c>
      <c r="J25" s="273">
        <f>2733.75/(2688/2688)</f>
        <v/>
      </c>
      <c r="K25" s="273">
        <f>2246.25/(2235/2976)</f>
        <v/>
      </c>
      <c r="L25" s="273">
        <f>2696.25/(2848/2880)</f>
        <v/>
      </c>
      <c r="M25" s="273">
        <f>
2088.75/(2851/2976)</f>
        <v/>
      </c>
      <c r="N25" s="273">
        <f>1127.16/(2747/2880)</f>
        <v/>
      </c>
      <c r="O25" s="193">
        <f>SUM(C25:N25)</f>
        <v/>
      </c>
      <c r="Q25" s="273" t="n"/>
    </row>
    <row r="26" spans="1:19">
      <c r="A26" s="226" t="n"/>
      <c r="B26" s="226" t="s">
        <v>50</v>
      </c>
      <c r="C26" s="312">
        <f>ROUND(C25*C$5,2)</f>
        <v/>
      </c>
      <c r="D26" s="312">
        <f>ROUND(D25*D$5,2)</f>
        <v/>
      </c>
      <c r="E26" s="312">
        <f>ROUND(E25*E$5,2)</f>
        <v/>
      </c>
      <c r="F26" s="312">
        <f>ROUND(F25*F$5,2)</f>
        <v/>
      </c>
      <c r="G26" s="312">
        <f>ROUND(G25*G$5,2)</f>
        <v/>
      </c>
      <c r="H26" s="312">
        <f>ROUND(H25*H$5,2)</f>
        <v/>
      </c>
      <c r="I26" s="312">
        <f>ROUND(I25*I$5,2)</f>
        <v/>
      </c>
      <c r="J26" s="312">
        <f>ROUND(J25*J$5,2)</f>
        <v/>
      </c>
      <c r="K26" s="312">
        <f>ROUND(K25*K$5,2)</f>
        <v/>
      </c>
      <c r="L26" s="312">
        <f>ROUND(L25*L$5,2)</f>
        <v/>
      </c>
      <c r="M26" s="312">
        <f>ROUND(M25*M$5,2)</f>
        <v/>
      </c>
      <c r="N26" s="312">
        <f>ROUND(N25*N$5,2)</f>
        <v/>
      </c>
      <c r="O26" s="311">
        <f>SUM(C26:N26)</f>
        <v/>
      </c>
    </row>
    <row r="27" spans="1:19">
      <c r="A27" s="226" t="n"/>
      <c r="B27" s="226" t="n"/>
      <c r="C27" s="312" t="n"/>
      <c r="D27" s="312" t="n"/>
      <c r="E27" s="312" t="n"/>
      <c r="F27" s="312" t="n"/>
      <c r="G27" s="312" t="n"/>
      <c r="H27" s="312" t="n"/>
      <c r="I27" s="312" t="n"/>
      <c r="J27" s="312">
        <f>4243.12553954124/(4243.12553954124/2688)</f>
        <v/>
      </c>
      <c r="K27" s="312" t="n"/>
      <c r="L27" s="312" t="n"/>
      <c r="M27" s="312" t="n"/>
      <c r="N27" s="312" t="n"/>
      <c r="O27" s="311" t="n"/>
      <c r="P27" s="304" t="n"/>
      <c r="Q27" s="304" t="n"/>
      <c r="R27" s="184" t="n"/>
    </row>
    <row customHeight="1" ht="24" r="28" s="3" spans="1:19">
      <c r="A28" s="226" t="s">
        <v>58</v>
      </c>
      <c r="B28" s="227" t="s">
        <v>49</v>
      </c>
      <c r="C28" s="273">
        <f>1830/(2255/2976)</f>
        <v/>
      </c>
      <c r="D28" s="273">
        <f>2460.99/(2954/2976)</f>
        <v/>
      </c>
      <c r="E28" s="273">
        <f>4385.63/(2880/2880)</f>
        <v/>
      </c>
      <c r="F28" s="273">
        <f>4413.751/(2969/2976)</f>
        <v/>
      </c>
      <c r="G28" s="273">
        <f>4346.251/(2879/2880)</f>
        <v/>
      </c>
      <c r="H28" s="273">
        <f>3277.5/(2706/2976)</f>
        <v/>
      </c>
      <c r="I28" s="273">
        <f>AVERAGE(2747,2998)</f>
        <v/>
      </c>
      <c r="J28" s="273">
        <f>4243.1255/(2688/2688)</f>
        <v/>
      </c>
      <c r="K28" s="273">
        <f>3195/(2241/2976)</f>
        <v/>
      </c>
      <c r="L28" s="273">
        <f>3817.5/(2843/2880)</f>
        <v/>
      </c>
      <c r="M28" s="273">
        <f>2242.5/(2924/2976)</f>
        <v/>
      </c>
      <c r="N28" s="273">
        <f>1770.72/(2747/2880)</f>
        <v/>
      </c>
      <c r="O28" s="193">
        <f>SUM(C28:N28)</f>
        <v/>
      </c>
      <c r="P28" s="304" t="n"/>
      <c r="Q28" s="273" t="n"/>
      <c r="R28" s="184" t="n"/>
    </row>
    <row r="29" spans="1:19">
      <c r="A29" s="226" t="n"/>
      <c r="B29" s="226" t="s">
        <v>50</v>
      </c>
      <c r="C29" s="312">
        <f>ROUND(C28*C$5,2)</f>
        <v/>
      </c>
      <c r="D29" s="312">
        <f>ROUND(D28*D$5,2)</f>
        <v/>
      </c>
      <c r="E29" s="312">
        <f>ROUND(E28*E$5,2)</f>
        <v/>
      </c>
      <c r="F29" s="312">
        <f>ROUND(F28*F$5,2)</f>
        <v/>
      </c>
      <c r="G29" s="312">
        <f>ROUND(G28*G$5,2)</f>
        <v/>
      </c>
      <c r="H29" s="312">
        <f>ROUND(H28*H$5,2)</f>
        <v/>
      </c>
      <c r="I29" s="312">
        <f>ROUND(I28*I$5,2)</f>
        <v/>
      </c>
      <c r="J29" s="312">
        <f>ROUND(J28*J$5,2)</f>
        <v/>
      </c>
      <c r="K29" s="312">
        <f>ROUND(K28*K$5,2)</f>
        <v/>
      </c>
      <c r="L29" s="312">
        <f>ROUND(L28*L$5,2)</f>
        <v/>
      </c>
      <c r="M29" s="312">
        <f>ROUND(M28*M$5,2)</f>
        <v/>
      </c>
      <c r="N29" s="312">
        <f>ROUND(N28*N$5,2)</f>
        <v/>
      </c>
      <c r="O29" s="311">
        <f>SUM(C29:N29)</f>
        <v/>
      </c>
    </row>
    <row r="30" spans="1:19">
      <c r="A30" s="226" t="n"/>
      <c r="B30" s="226" t="n"/>
      <c r="C30" s="312" t="n"/>
      <c r="D30" s="312" t="n"/>
      <c r="E30" s="312" t="n"/>
      <c r="F30" s="312" t="n"/>
      <c r="G30" s="312" t="n"/>
      <c r="H30" s="312" t="n"/>
      <c r="I30" s="312" t="n"/>
      <c r="J30" s="312">
        <f>4770.00060653686/(4770.00060653686/2688)</f>
        <v/>
      </c>
      <c r="K30" s="312" t="n"/>
      <c r="L30" s="312" t="n"/>
      <c r="M30" s="312" t="n"/>
      <c r="N30" s="312" t="n"/>
      <c r="O30" s="311" t="n"/>
    </row>
    <row customHeight="1" ht="24" r="31" s="3" spans="1:19">
      <c r="A31" s="226" t="s">
        <v>59</v>
      </c>
      <c r="B31" s="227" t="s">
        <v>49</v>
      </c>
      <c r="C31" s="273">
        <f>2512.5/(2973/2976)</f>
        <v/>
      </c>
      <c r="D31" s="273">
        <f>4073.81/(2958/2976)</f>
        <v/>
      </c>
      <c r="E31" s="273">
        <f>5977.5/(2879/2880)</f>
        <v/>
      </c>
      <c r="F31" s="273">
        <f>5881.876/(2970/2976)</f>
        <v/>
      </c>
      <c r="G31" s="273">
        <f>5041.876/(2879/2880)</f>
        <v/>
      </c>
      <c r="H31" s="273">
        <f>3564.375/(2706/2976)</f>
        <v/>
      </c>
      <c r="I31" s="273">
        <f>AVERAGE(3126,3707)</f>
        <v/>
      </c>
      <c r="J31" s="273">
        <f>4770/(2688/2688)</f>
        <v/>
      </c>
      <c r="K31" s="273">
        <f>4231.8755/(2237/2976)</f>
        <v/>
      </c>
      <c r="L31" s="273">
        <f>5165.63/(2848/2880)</f>
        <v/>
      </c>
      <c r="M31" s="273">
        <f>3110.6253/(2860/2976)</f>
        <v/>
      </c>
      <c r="N31" s="273">
        <f>2291.55/(2754/2880)</f>
        <v/>
      </c>
      <c r="O31" s="193">
        <f>SUM(C31:N31)</f>
        <v/>
      </c>
      <c r="Q31" s="273" t="n"/>
    </row>
    <row r="32" spans="1:19">
      <c r="A32" s="226" t="n"/>
      <c r="B32" s="226" t="s">
        <v>50</v>
      </c>
      <c r="C32" s="312">
        <f>ROUND(C31*C$5,2)</f>
        <v/>
      </c>
      <c r="D32" s="312">
        <f>ROUND(D31*D$5,2)</f>
        <v/>
      </c>
      <c r="E32" s="312">
        <f>ROUND(E31*E$5,2)</f>
        <v/>
      </c>
      <c r="F32" s="312">
        <f>ROUND(F31*F$5,2)</f>
        <v/>
      </c>
      <c r="G32" s="312">
        <f>ROUND(G31*G$5,2)</f>
        <v/>
      </c>
      <c r="H32" s="312">
        <f>ROUND(H31*H$5,2)</f>
        <v/>
      </c>
      <c r="I32" s="312">
        <f>ROUND(I31*I$5,2)</f>
        <v/>
      </c>
      <c r="J32" s="312">
        <f>ROUND(J31*J$5,2)</f>
        <v/>
      </c>
      <c r="K32" s="312">
        <f>ROUND(K31*K$5,2)</f>
        <v/>
      </c>
      <c r="L32" s="312">
        <f>ROUND(L31*L$5,2)</f>
        <v/>
      </c>
      <c r="M32" s="312">
        <f>ROUND(M31*M$5,2)</f>
        <v/>
      </c>
      <c r="N32" s="312">
        <f>ROUND(N31*N$5,2)</f>
        <v/>
      </c>
      <c r="O32" s="311">
        <f>SUM(C32:N32)</f>
        <v/>
      </c>
    </row>
    <row r="33" spans="1:19">
      <c r="A33" s="226" t="n"/>
      <c r="B33" s="226" t="n"/>
      <c r="C33" s="312" t="n"/>
      <c r="D33" s="312" t="n"/>
      <c r="E33" s="312" t="n"/>
      <c r="F33" s="312" t="n"/>
      <c r="G33" s="312" t="n"/>
      <c r="H33" s="312" t="n"/>
      <c r="I33" s="312" t="n"/>
      <c r="J33" s="312">
        <f>6798.75086426734/(6798.75086426734/2688)</f>
        <v/>
      </c>
      <c r="K33" s="312" t="n"/>
      <c r="L33" s="312" t="n"/>
      <c r="M33" s="312" t="n"/>
      <c r="N33" s="312" t="n"/>
      <c r="O33" s="311" t="n"/>
    </row>
    <row customHeight="1" ht="24" r="34" s="3" spans="1:19">
      <c r="A34" s="226" t="s">
        <v>60</v>
      </c>
      <c r="B34" s="227" t="s">
        <v>49</v>
      </c>
      <c r="C34" s="273">
        <f>3069.375/(2975/2976)</f>
        <v/>
      </c>
      <c r="D34" s="273">
        <f>3572.28/(2939/2976)</f>
        <v/>
      </c>
      <c r="E34" s="273">
        <f>7563.751/(2879/2880)</f>
        <v/>
      </c>
      <c r="F34" s="273">
        <f>7916.251/(2969/2976)</f>
        <v/>
      </c>
      <c r="G34" s="273">
        <f>7629.375/(2879/2880)</f>
        <v/>
      </c>
      <c r="H34" s="273">
        <f>5388.75/(2706/2976)</f>
        <v/>
      </c>
      <c r="I34" s="273">
        <f>AVERAGE(5328,5723)</f>
        <v/>
      </c>
      <c r="J34" s="273">
        <f>6798.75/(2688/2688)</f>
        <v/>
      </c>
      <c r="K34" s="273">
        <f>5908.13/(2240/2976)</f>
        <v/>
      </c>
      <c r="L34" s="273">
        <f>6577.5/(2846/2880)</f>
        <v/>
      </c>
      <c r="M34" s="273">
        <f>3845.625/(2926/2976)</f>
        <v/>
      </c>
      <c r="N34" s="273">
        <f>3378.68/(2749/2880)</f>
        <v/>
      </c>
      <c r="O34" s="193">
        <f>SUM(C34:N34)</f>
        <v/>
      </c>
      <c r="Q34" s="273" t="n"/>
    </row>
    <row r="35" spans="1:19">
      <c r="A35" s="226" t="n"/>
      <c r="B35" s="226" t="s">
        <v>50</v>
      </c>
      <c r="C35" s="312">
        <f>ROUND(C34*C$5,2)</f>
        <v/>
      </c>
      <c r="D35" s="312">
        <f>ROUND(D34*D$5,2)</f>
        <v/>
      </c>
      <c r="E35" s="312">
        <f>ROUND(E34*E$5,2)</f>
        <v/>
      </c>
      <c r="F35" s="312">
        <f>ROUND(F34*F$5,2)</f>
        <v/>
      </c>
      <c r="G35" s="312">
        <f>ROUND(G34*G$5,2)</f>
        <v/>
      </c>
      <c r="H35" s="312">
        <f>ROUND(H34*H$5,2)</f>
        <v/>
      </c>
      <c r="I35" s="312">
        <f>ROUND(I34*I$5,2)</f>
        <v/>
      </c>
      <c r="J35" s="312">
        <f>ROUND(J34*J$5,2)</f>
        <v/>
      </c>
      <c r="K35" s="312">
        <f>ROUND(K34*K$5,2)</f>
        <v/>
      </c>
      <c r="L35" s="312">
        <f>ROUND(L34*L$5,2)</f>
        <v/>
      </c>
      <c r="M35" s="312">
        <f>ROUND(M34*M$5,2)</f>
        <v/>
      </c>
      <c r="N35" s="312">
        <f>ROUND(N34*N$5,2)</f>
        <v/>
      </c>
      <c r="O35" s="311">
        <f>SUM(C35:N35)</f>
        <v/>
      </c>
    </row>
    <row r="36" spans="1:19">
      <c r="J36">
        <f>5101.87564873695/(5101.87564873695/2688)</f>
        <v/>
      </c>
    </row>
    <row customHeight="1" ht="24" r="37" s="3" spans="1:19">
      <c r="A37" s="226" t="s">
        <v>61</v>
      </c>
      <c r="B37" s="227" t="s">
        <v>49</v>
      </c>
      <c r="C37" s="273">
        <f>3084.375/(2975/2976)</f>
        <v/>
      </c>
      <c r="D37" s="273">
        <f>3999.3/(2974/2976)</f>
        <v/>
      </c>
      <c r="E37" s="273">
        <f>5891.2507/(2880/2880)</f>
        <v/>
      </c>
      <c r="F37" s="273">
        <f>5478.75/(2969/2976)</f>
        <v/>
      </c>
      <c r="G37" s="273">
        <f>5283.751/(2879/2880)</f>
        <v/>
      </c>
      <c r="H37" s="273">
        <f>3810/(2706/2976)</f>
        <v/>
      </c>
      <c r="I37" s="273">
        <f>AVERAGE(3249,4047)</f>
        <v/>
      </c>
      <c r="J37" s="273">
        <f>5101.8756/(2688/2688)</f>
        <v/>
      </c>
      <c r="K37" s="273">
        <f>4515/(2235/2976)</f>
        <v/>
      </c>
      <c r="L37" s="273">
        <f>5786.25/(2848/2880)</f>
        <v/>
      </c>
      <c r="M37" s="273">
        <f>3461.25/(2852/2976)</f>
        <v/>
      </c>
      <c r="N37" s="273">
        <f>2170.65/(2697/2880)</f>
        <v/>
      </c>
      <c r="O37" s="193">
        <f>SUM(C37:N37)</f>
        <v/>
      </c>
      <c r="Q37" s="273" t="n"/>
    </row>
    <row r="38" spans="1:19">
      <c r="A38" s="226" t="n"/>
      <c r="B38" s="226" t="s">
        <v>50</v>
      </c>
      <c r="C38" s="312">
        <f>ROUND(C37*C$5,2)</f>
        <v/>
      </c>
      <c r="D38" s="312">
        <f>ROUND(D37*D$5,2)</f>
        <v/>
      </c>
      <c r="E38" s="312">
        <f>ROUND(E37*E$5,2)</f>
        <v/>
      </c>
      <c r="F38" s="312">
        <f>ROUND(F37*F$5,2)</f>
        <v/>
      </c>
      <c r="G38" s="312">
        <f>ROUND(G37*G$5,2)</f>
        <v/>
      </c>
      <c r="H38" s="312">
        <f>ROUND(H37*H$5,2)</f>
        <v/>
      </c>
      <c r="I38" s="312">
        <f>ROUND(I37*I$5,2)</f>
        <v/>
      </c>
      <c r="J38" s="312">
        <f>ROUND(J37*J$5,2)</f>
        <v/>
      </c>
      <c r="K38" s="312">
        <f>ROUND(K37*K$5,2)</f>
        <v/>
      </c>
      <c r="L38" s="312">
        <f>ROUND(L37*L$5,2)</f>
        <v/>
      </c>
      <c r="M38" s="312">
        <f>ROUND(M37*M$5,2)</f>
        <v/>
      </c>
      <c r="N38" s="312">
        <f>ROUND(N37*N$5,2)</f>
        <v/>
      </c>
      <c r="O38" s="311">
        <f>SUM(C38:N38)</f>
        <v/>
      </c>
    </row>
    <row r="39" spans="1:19">
      <c r="A39" s="226" t="n"/>
      <c r="B39" s="226" t="n"/>
      <c r="C39" s="312" t="n"/>
      <c r="D39" s="312" t="n"/>
      <c r="E39" s="312" t="n"/>
      <c r="F39" s="312" t="n"/>
      <c r="G39" s="312" t="n"/>
      <c r="H39" s="312" t="n"/>
      <c r="I39" s="312" t="n"/>
      <c r="J39" s="312">
        <f>3069.37539029121/(3069.37539029121/2688)</f>
        <v/>
      </c>
      <c r="K39" s="312" t="n"/>
      <c r="L39" s="312" t="n"/>
      <c r="M39" s="312" t="n"/>
      <c r="N39" s="312" t="n"/>
      <c r="O39" s="312" t="n"/>
    </row>
    <row customHeight="1" ht="24" r="40" s="3" spans="1:19">
      <c r="A40" s="226" t="s">
        <v>62</v>
      </c>
      <c r="B40" s="227" t="s">
        <v>49</v>
      </c>
      <c r="C40" s="273">
        <f>1216.875/(2972/2976)</f>
        <v/>
      </c>
      <c r="D40" s="273">
        <f>2246.25/(2975/2976)</f>
        <v/>
      </c>
      <c r="E40" s="273">
        <f>3500.625/(2878/2880)</f>
        <v/>
      </c>
      <c r="F40" s="273">
        <f>3363.75043/(2968/2976)</f>
        <v/>
      </c>
      <c r="G40" s="273">
        <f>3138.75/(2879/2880)</f>
        <v/>
      </c>
      <c r="H40" s="273">
        <f>2146.88/(2706/2976)</f>
        <v/>
      </c>
      <c r="I40" s="273">
        <f>AVERAGE(1814,2080)</f>
        <v/>
      </c>
      <c r="J40" s="273">
        <f>3069.375/(2688/2688)</f>
        <v/>
      </c>
      <c r="K40" s="273">
        <f>3500.625*(2878/2880)</f>
        <v/>
      </c>
      <c r="L40" s="273">
        <f>3500.625*(2878/2880)</f>
        <v/>
      </c>
      <c r="M40" s="273">
        <f>3500.625*(2878/2880)</f>
        <v/>
      </c>
      <c r="N40" s="273">
        <f>3500.625*(2878/2880)</f>
        <v/>
      </c>
      <c r="O40" s="273">
        <f>3500.625*(2878/2880)</f>
        <v/>
      </c>
      <c r="Q40" s="273" t="n"/>
    </row>
    <row r="41" spans="1:19">
      <c r="A41" s="205" t="n"/>
      <c r="B41" s="226" t="s">
        <v>50</v>
      </c>
      <c r="C41" s="312">
        <f>ROUND(C40*C$5,2)</f>
        <v/>
      </c>
      <c r="D41" s="312">
        <f>ROUND(D40*D$5,2)</f>
        <v/>
      </c>
      <c r="E41" s="312">
        <f>ROUND(E40*E$5,2)</f>
        <v/>
      </c>
      <c r="F41" s="312">
        <f>ROUND(F40*F$5,2)</f>
        <v/>
      </c>
      <c r="G41" s="312">
        <f>ROUND(G40*G$5,2)</f>
        <v/>
      </c>
      <c r="H41" s="312">
        <f>ROUND(H40*H$5,2)</f>
        <v/>
      </c>
      <c r="I41" s="312">
        <f>ROUND(I40*I$5,2)</f>
        <v/>
      </c>
      <c r="J41" s="312">
        <f>ROUND(J40*J$5,2)</f>
        <v/>
      </c>
      <c r="K41" s="312">
        <f>ROUND(K40*K$5,2)</f>
        <v/>
      </c>
      <c r="L41" s="312">
        <f>ROUND(L40*L$5,2)</f>
        <v/>
      </c>
      <c r="M41" s="312">
        <f>ROUND(M40*M$5,2)</f>
        <v/>
      </c>
      <c r="N41" s="312">
        <f>ROUND(N40*N$5,2)</f>
        <v/>
      </c>
      <c r="O41" s="311">
        <f>SUM(C41:N41)</f>
        <v/>
      </c>
    </row>
    <row r="42" spans="1:19">
      <c r="A42" s="205" t="n"/>
      <c r="B42" s="226" t="n"/>
      <c r="C42" s="312" t="n"/>
      <c r="D42" s="312" t="n"/>
      <c r="E42" s="312" t="n"/>
      <c r="F42" s="312" t="n"/>
      <c r="G42" s="312" t="n"/>
      <c r="H42" s="312" t="n"/>
      <c r="I42" s="312" t="n"/>
      <c r="J42" s="312">
        <f>5386.87568497657/(5386.87568497657/2688)</f>
        <v/>
      </c>
      <c r="K42" s="312" t="n"/>
      <c r="L42" s="312" t="n"/>
      <c r="M42" s="312" t="n"/>
      <c r="N42" s="312" t="n"/>
      <c r="O42" s="311" t="n"/>
    </row>
    <row customHeight="1" ht="24" r="43" s="3" spans="1:19">
      <c r="A43" s="226" t="s">
        <v>63</v>
      </c>
      <c r="B43" s="227" t="s">
        <v>49</v>
      </c>
      <c r="C43" s="273">
        <f>2248.125/(2256/2976)</f>
        <v/>
      </c>
      <c r="D43" s="273">
        <f>3873.75/(2975/2976)</f>
        <v/>
      </c>
      <c r="E43" s="273">
        <f>5949.376/(2880/2880)</f>
        <v/>
      </c>
      <c r="F43" s="273">
        <f>5643.751/(2970/2976)</f>
        <v/>
      </c>
      <c r="G43" s="273">
        <f>2752.5/(1406/2880)</f>
        <v/>
      </c>
      <c r="H43" s="273">
        <f>4134.376/(2656/2976)</f>
        <v/>
      </c>
      <c r="I43" s="273">
        <f>AVERAGE(4257,5434)</f>
        <v/>
      </c>
      <c r="J43" s="273">
        <f>5386.8756/(2688/2688)</f>
        <v/>
      </c>
      <c r="K43" s="273">
        <f>4410/(2175/2976)</f>
        <v/>
      </c>
      <c r="L43" s="273">
        <f>5340/(2846/2880)</f>
        <v/>
      </c>
      <c r="M43" s="273">
        <f>3585/(2793/2976)</f>
        <v/>
      </c>
      <c r="N43" s="273">
        <f>2974.425/(2697/2880)</f>
        <v/>
      </c>
      <c r="O43" s="193">
        <f>SUM(C43:N43)</f>
        <v/>
      </c>
      <c r="Q43" s="273" t="n"/>
    </row>
    <row r="44" spans="1:19">
      <c r="A44" s="205" t="n"/>
      <c r="B44" s="226" t="s">
        <v>50</v>
      </c>
      <c r="C44" s="312">
        <f>ROUND(C43*C$5,2)</f>
        <v/>
      </c>
      <c r="D44" s="312">
        <f>ROUND(D43*D$5,2)</f>
        <v/>
      </c>
      <c r="E44" s="312">
        <f>ROUND(E43*E$5,2)</f>
        <v/>
      </c>
      <c r="F44" s="312">
        <f>ROUND(F43*F$5,2)</f>
        <v/>
      </c>
      <c r="G44" s="312">
        <f>ROUND(G43*G$5,2)</f>
        <v/>
      </c>
      <c r="H44" s="312">
        <f>ROUND(H43*H$5,2)</f>
        <v/>
      </c>
      <c r="I44" s="312">
        <f>ROUND(I43*I$5,2)</f>
        <v/>
      </c>
      <c r="J44" s="312">
        <f>ROUND(J43*J$5,2)</f>
        <v/>
      </c>
      <c r="K44" s="312">
        <f>ROUND(K43*K$5,2)</f>
        <v/>
      </c>
      <c r="L44" s="312">
        <f>ROUND(L43*L$5,2)</f>
        <v/>
      </c>
      <c r="M44" s="312">
        <f>ROUND(M43*M$5,2)</f>
        <v/>
      </c>
      <c r="N44" s="312">
        <f>ROUND(N43*N$5,2)</f>
        <v/>
      </c>
      <c r="O44" s="311">
        <f>SUM(C44:N44)</f>
        <v/>
      </c>
    </row>
    <row r="45" spans="1:19">
      <c r="A45" s="205" t="n"/>
      <c r="B45" s="226" t="n"/>
      <c r="C45" s="312" t="n"/>
      <c r="D45" s="312" t="n"/>
      <c r="E45" s="312" t="n"/>
      <c r="F45" s="312" t="n"/>
      <c r="G45" s="312" t="n"/>
      <c r="H45" s="312" t="n"/>
      <c r="I45" s="312" t="n"/>
      <c r="J45" s="312">
        <f>4854.3756172657/(4854.3756172657/2688)</f>
        <v/>
      </c>
      <c r="K45" s="312" t="n"/>
      <c r="L45" s="312" t="n"/>
      <c r="M45" s="312" t="n"/>
      <c r="N45" s="312" t="n"/>
      <c r="O45" s="311" t="n"/>
    </row>
    <row customHeight="1" ht="24" r="46" s="3" spans="1:19">
      <c r="A46" s="226" t="s">
        <v>64</v>
      </c>
      <c r="B46" s="227" t="s">
        <v>49</v>
      </c>
      <c r="C46" s="273">
        <f>2205/(2974/2976)</f>
        <v/>
      </c>
      <c r="D46" s="280">
        <f>3816.21/(2947/2976)</f>
        <v/>
      </c>
      <c r="E46" s="280">
        <f>5461.8757/(2879/2880)</f>
        <v/>
      </c>
      <c r="F46" s="273">
        <f>5666.251/(2969/2976)</f>
        <v/>
      </c>
      <c r="G46" s="273">
        <f>5424.376/(2879/2880)</f>
        <v/>
      </c>
      <c r="H46" s="273">
        <f>3735/(2706/2976)</f>
        <v/>
      </c>
      <c r="I46" s="273">
        <f>AVERAGE(3287,4339)</f>
        <v/>
      </c>
      <c r="J46" s="273">
        <f>4854.3756/(2688/2688)</f>
        <v/>
      </c>
      <c r="K46" s="273">
        <f>4059.38/(2234/2976)</f>
        <v/>
      </c>
      <c r="L46" s="273">
        <f>4929.376/(2850/2880)</f>
        <v/>
      </c>
      <c r="M46" s="273">
        <f>2900.625/(2919/2976)</f>
        <v/>
      </c>
      <c r="N46" s="273">
        <f>2237.58/(2750/2880)</f>
        <v/>
      </c>
      <c r="O46" s="193">
        <f>SUM(C46:N46)</f>
        <v/>
      </c>
      <c r="Q46" s="273" t="n"/>
    </row>
    <row r="47" spans="1:19">
      <c r="A47" s="226" t="n"/>
      <c r="B47" s="226" t="s">
        <v>50</v>
      </c>
      <c r="C47" s="312">
        <f>ROUND(C46*C$5,2)</f>
        <v/>
      </c>
      <c r="D47" s="312">
        <f>ROUND(D46*D$5,2)</f>
        <v/>
      </c>
      <c r="E47" s="312">
        <f>ROUND(E46*E$5,2)</f>
        <v/>
      </c>
      <c r="F47" s="312">
        <f>ROUND(F46*F$5,2)</f>
        <v/>
      </c>
      <c r="G47" s="312">
        <f>ROUND(G46*G$5,2)</f>
        <v/>
      </c>
      <c r="H47" s="312">
        <f>ROUND(H46*H$5,2)</f>
        <v/>
      </c>
      <c r="I47" s="312">
        <f>ROUND(I46*I$5,2)</f>
        <v/>
      </c>
      <c r="J47" s="312">
        <f>ROUND(J46*J$5,2)</f>
        <v/>
      </c>
      <c r="K47" s="312">
        <f>ROUND(K46*K$5,2)</f>
        <v/>
      </c>
      <c r="L47" s="312">
        <f>ROUND(L46*L$5,2)</f>
        <v/>
      </c>
      <c r="M47" s="312">
        <f>ROUND(M46*M$5,2)</f>
        <v/>
      </c>
      <c r="N47" s="312">
        <f>ROUND(N46*N$5,2)</f>
        <v/>
      </c>
      <c r="O47" s="311">
        <f>SUM(C47:N47)</f>
        <v/>
      </c>
    </row>
    <row r="50" spans="1:19">
      <c r="A50" s="226" t="n"/>
      <c r="B50" s="226" t="n"/>
      <c r="C50" s="312" t="n"/>
      <c r="D50" s="312" t="n"/>
      <c r="E50" s="312" t="n"/>
      <c r="F50" s="255" t="n"/>
      <c r="G50" s="312" t="n"/>
      <c r="H50" s="255" t="n"/>
      <c r="I50" s="255" t="n"/>
      <c r="J50" s="255" t="n"/>
      <c r="K50" s="255" t="n"/>
      <c r="L50" s="255" t="n"/>
      <c r="M50" s="255" t="n"/>
      <c r="N50" s="255" t="n"/>
      <c r="O50" s="311" t="n"/>
    </row>
    <row r="53" spans="1:19">
      <c r="A53" s="226" t="n"/>
      <c r="B53" s="226" t="n"/>
      <c r="C53" s="312" t="n"/>
      <c r="D53" s="312" t="n"/>
      <c r="E53" s="312" t="n"/>
      <c r="F53" s="255" t="n"/>
      <c r="G53" s="312" t="n"/>
      <c r="H53" s="255" t="n"/>
      <c r="I53" s="255" t="n"/>
      <c r="J53" s="255" t="n"/>
      <c r="K53" s="255" t="n"/>
      <c r="L53" s="255" t="n"/>
      <c r="M53" s="255" t="n"/>
      <c r="N53" s="255" t="n"/>
      <c r="O53" s="311" t="n"/>
    </row>
    <row r="56" spans="1:19">
      <c r="A56" s="226" t="n"/>
      <c r="B56" s="226" t="n"/>
      <c r="C56" s="312" t="n"/>
      <c r="D56" s="312" t="n"/>
      <c r="E56" s="312" t="n"/>
      <c r="F56" s="255" t="n"/>
      <c r="G56" s="312" t="n"/>
      <c r="H56" s="255" t="n"/>
      <c r="I56" s="255" t="n"/>
      <c r="J56" s="255" t="n"/>
      <c r="K56" s="255" t="n"/>
      <c r="L56" s="255" t="n"/>
      <c r="M56" s="255" t="n"/>
      <c r="N56" s="255" t="n"/>
      <c r="O56" s="311" t="n"/>
    </row>
    <row r="57" spans="1:19">
      <c r="A57" s="226" t="n"/>
      <c r="B57" s="226" t="n"/>
      <c r="C57" s="312" t="n"/>
      <c r="D57" s="312" t="n"/>
      <c r="E57" s="312" t="n"/>
      <c r="F57" s="255" t="n"/>
      <c r="G57" s="312" t="n"/>
      <c r="H57" s="255" t="n"/>
      <c r="I57" s="255" t="n"/>
      <c r="J57" s="255" t="n"/>
      <c r="K57" s="255" t="n"/>
      <c r="L57" s="255" t="n"/>
      <c r="M57" s="255" t="n"/>
      <c r="N57" s="255" t="n"/>
      <c r="O57" s="311" t="n"/>
    </row>
    <row r="58" spans="1:19">
      <c r="A58" s="226" t="n"/>
      <c r="B58" s="226" t="n"/>
      <c r="C58" s="312" t="n"/>
      <c r="D58" s="312" t="n"/>
      <c r="E58" s="312" t="n"/>
      <c r="F58" s="255" t="n"/>
      <c r="G58" s="312" t="n"/>
      <c r="H58" s="255" t="n"/>
      <c r="I58" s="255" t="n"/>
      <c r="J58" s="255" t="n"/>
      <c r="K58" s="255" t="n"/>
      <c r="L58" s="255" t="n"/>
      <c r="M58" s="255" t="n"/>
      <c r="N58" s="255" t="n"/>
      <c r="O58" s="311" t="n"/>
    </row>
    <row r="59" spans="1:19">
      <c r="A59" s="226" t="n"/>
      <c r="B59" s="226" t="n"/>
      <c r="C59" s="312" t="n"/>
      <c r="D59" s="312" t="n"/>
      <c r="E59" s="312" t="n"/>
      <c r="F59" s="273" t="n"/>
      <c r="G59" s="312" t="n"/>
      <c r="H59" s="273" t="n"/>
      <c r="I59" s="273" t="n"/>
      <c r="J59" s="273" t="n"/>
      <c r="K59" s="273" t="n"/>
      <c r="L59" s="273" t="n"/>
      <c r="M59" s="273" t="n"/>
      <c r="N59" s="273" t="n"/>
      <c r="O59" s="311" t="n"/>
    </row>
    <row r="60" spans="1:19">
      <c r="A60" s="226" t="n"/>
      <c r="B60" s="226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312" t="n"/>
      <c r="N60" s="312" t="n"/>
      <c r="O60" s="311" t="n"/>
    </row>
    <row r="61" spans="1:19">
      <c r="A61" s="226" t="n"/>
      <c r="B61" s="226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1" t="n"/>
    </row>
    <row r="62" spans="1:19">
      <c r="A62" s="226" t="n"/>
      <c r="B62" s="226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1" t="n"/>
    </row>
    <row r="63" spans="1:19">
      <c r="A63" s="226" t="s">
        <v>65</v>
      </c>
      <c r="B63" s="312" t="n"/>
      <c r="C63" s="312" t="n"/>
      <c r="D63" s="312" t="n"/>
      <c r="E63" s="226" t="n"/>
      <c r="F63" s="226" t="n"/>
      <c r="G63" s="226" t="n"/>
      <c r="H63" s="226" t="n"/>
      <c r="I63" s="226" t="n"/>
      <c r="J63" s="226" t="n"/>
      <c r="K63" s="226" t="n"/>
      <c r="L63" s="226" t="n"/>
      <c r="M63" s="226" t="n"/>
      <c r="N63" s="226" t="n"/>
      <c r="O63" s="311" t="n"/>
    </row>
    <row r="64" spans="1:19">
      <c r="A64" s="207" t="s">
        <v>66</v>
      </c>
      <c r="B64" s="207" t="n"/>
      <c r="C64" s="207" t="n"/>
      <c r="D64" s="207" t="n"/>
      <c r="E64" s="207" t="n"/>
      <c r="F64" s="313" t="n"/>
      <c r="G64" s="313" t="n"/>
      <c r="H64" s="313" t="n"/>
      <c r="I64" s="313" t="n"/>
      <c r="J64" s="313" t="n"/>
      <c r="K64" s="313" t="n"/>
      <c r="L64" s="313" t="n"/>
      <c r="M64" s="313" t="n"/>
      <c r="N64" s="313" t="n"/>
      <c r="O64" s="311" t="n"/>
    </row>
    <row r="65" spans="1:19">
      <c r="A65" s="226" t="s">
        <v>67</v>
      </c>
      <c r="B65" s="226" t="n"/>
      <c r="C65" s="273">
        <f>SUM(C9+C6+C12+C15+C18+C37+C40+C43+C25+C31+C34+C46+C28+C22)</f>
        <v/>
      </c>
      <c r="D65" s="273">
        <f>SUM(D9+D6+D12+D15+D18+D37+D40+D43+D25+D31+D34+D46+D28+D22)</f>
        <v/>
      </c>
      <c r="E65" s="273">
        <f>SUM(E9+E6+E12+E15+E18+E37+E40+E43+E25+E31+E34+E46+E28+E22)</f>
        <v/>
      </c>
      <c r="F65" s="273">
        <f>SUM(F9+F6+F12+F15+F18+F37+F40+F43+F25+F31+F34+F46+F28+F22)</f>
        <v/>
      </c>
      <c r="G65" s="273">
        <f>SUM(G9+G6+G12+G15+G18+G37+G40+G43+G25+G31+G34+G46+G28+G22)</f>
        <v/>
      </c>
      <c r="H65" s="273">
        <f>SUM(H9+H6+H12+H15+H18+H37+H40+H43+H25+H31+H34+H46+H28+H22)</f>
        <v/>
      </c>
      <c r="I65" s="273">
        <f>SUM(I9+I6+I12+I15+I18+I37+I40+I43+I25+I31+I34+I46+I28+I22)</f>
        <v/>
      </c>
      <c r="J65" s="273">
        <f>SUM(J9+J6+J12+J15+J18+J37+J40+J43+J25+J31+J34+J46+J28+J22)</f>
        <v/>
      </c>
      <c r="K65" s="273">
        <f>SUM(K9+K6+K12+K15+K18+K37+K40+K43+K25+K31+K34+K46+K28+K22)</f>
        <v/>
      </c>
      <c r="L65" s="273">
        <f>SUM(L9+L6+L12+L15+L18+L37+L40+L43+L25+L31+L34+L46+L28+L22)</f>
        <v/>
      </c>
      <c r="M65" s="273">
        <f>SUM(M9+M6+M12+M15+M18+M37+M43+M25+M31+M34+M46+M28+M22)</f>
        <v/>
      </c>
      <c r="N65" s="273">
        <f>SUM(N9+N6+N12+N15+N18+N37+N40+N43+N25+N31+N34+N46+N28+N22)</f>
        <v/>
      </c>
      <c r="O65" s="273">
        <f>SUM(O9+O6+O12+O15+O18+O37+O40+O43+O25+O31+O34+O46+O28+O22)</f>
        <v/>
      </c>
      <c r="P65" s="273">
        <f>SUM(C65:N65)</f>
        <v/>
      </c>
    </row>
    <row r="66" spans="1:19">
      <c r="A66" s="226" t="s">
        <v>68</v>
      </c>
      <c r="C66" s="312">
        <f>SUM(C10+C7+C13+C16+C19+C38+C41+C44+C26+C32+C35+C47+C29+C23)</f>
        <v/>
      </c>
      <c r="D66" s="312">
        <f>SUM(D10+D7+D13+D16+D19+D38+D41+D44+D26+D32+D35+D47+D29+D23)</f>
        <v/>
      </c>
      <c r="E66" s="314">
        <f>SUM(E10+E7+E13+E16+E19+E38+E41+E44+E26+E32+E35+E47+E29+E23)</f>
        <v/>
      </c>
      <c r="F66" s="314">
        <f>SUM(F10+F7+F13+F16+F19+F38+F41+F44+F26+F32+F35+F47+F29+F23)</f>
        <v/>
      </c>
      <c r="G66" s="314">
        <f>SUM(G10+G7+G13+G16+G19+G38+G41+G44+G26+G32+G35+G47+G29+G23)</f>
        <v/>
      </c>
      <c r="H66" s="314">
        <f>SUM(H10+H7+H13+H16+H19+H38+H41+H44+H26+H32+H35+H47+H29+H23)</f>
        <v/>
      </c>
      <c r="I66" s="314">
        <f>SUM(I10+I7+I13+I16+I19+I38+I41+I44+I26+I32+I35+I47+I29+I23)</f>
        <v/>
      </c>
      <c r="J66" s="314">
        <f>SUM(J10+J7+J13+J16+J19+J38+J41+J44+J26+J32+J35+J47+J29+J23)</f>
        <v/>
      </c>
      <c r="K66" s="314">
        <f>SUM(K10+K7+K13+K16+K19+K38+K41+K44+K26+K32+K35+K47+K29+K23)</f>
        <v/>
      </c>
      <c r="L66" s="314">
        <f>SUM(L10+L7+L13+L16+L19+L38+L41+L44+L26+L32+L35+L47+L29+L23)</f>
        <v/>
      </c>
      <c r="M66" s="314">
        <f>SUM(M10+M7+M13+M16+M19+M38+M41+M44+M26+M32+M35+M47+M29+M23)</f>
        <v/>
      </c>
      <c r="N66" s="314">
        <f>SUM(N10+N7+N13+N16+N19+N38+N41+N44+N26+N32+N35+N47+N29+N23)</f>
        <v/>
      </c>
      <c r="O66" s="314">
        <f>SUM(O10+O7+O13+O16+O19+O38+O41+O44+O26+O32+O35+O47+O29+O23)</f>
        <v/>
      </c>
      <c r="P66" s="314">
        <f>SUM(C66:N66)</f>
        <v/>
      </c>
    </row>
    <row r="67" spans="1:19">
      <c r="J67" s="226" t="n"/>
      <c r="K67" s="315" t="n"/>
      <c r="N67" s="278" t="n"/>
    </row>
    <row r="68" spans="1:19">
      <c r="A68" s="186" t="s">
        <v>34</v>
      </c>
      <c r="I68" s="226" t="s">
        <v>16</v>
      </c>
    </row>
    <row r="69" spans="1:19">
      <c r="A69" s="186" t="s">
        <v>69</v>
      </c>
    </row>
    <row r="70" spans="1:19">
      <c r="A70" s="226" t="s">
        <v>70</v>
      </c>
    </row>
    <row customFormat="1" r="71" s="226" spans="1:19">
      <c r="A71" s="226" t="n"/>
      <c r="B71" s="226" t="n"/>
      <c r="J71" s="226" t="n"/>
      <c r="O71" s="226" t="n"/>
    </row>
    <row r="73" spans="1:19">
      <c r="P73" s="226" t="n"/>
    </row>
    <row r="74" spans="1:19">
      <c r="P74" s="273" t="n"/>
    </row>
    <row r="75" spans="1:19">
      <c r="P75" s="316" t="n"/>
    </row>
  </sheetData>
  <printOptions horizontalCentered="1" verticalCentered="1"/>
  <pageMargins bottom="0.5" footer="0.5" header="0.5" left="0" right="0" top="0.5"/>
  <pageSetup orientation="landscape" scale="59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63"/>
  <sheetViews>
    <sheetView workbookViewId="0" zoomScale="120" zoomScaleNormal="120">
      <pane activePane="topRight" state="frozen" topLeftCell="B1" xSplit="1"/>
      <selection activeCell="O1" pane="topRight" sqref="O1:P1048576"/>
    </sheetView>
  </sheetViews>
  <sheetFormatPr baseColWidth="8" defaultColWidth="9.140625" defaultRowHeight="12.75" outlineLevelCol="0"/>
  <cols>
    <col customWidth="1" max="1" min="1" style="259" width="17.42578125"/>
    <col customWidth="1" max="2" min="2" style="259" width="22.85546875"/>
    <col customWidth="1" hidden="1" max="3" min="3" style="259" width="9.5703125"/>
    <col customWidth="1" hidden="1" max="4" min="4" style="259" width="9.28515625"/>
    <col customWidth="1" hidden="1" max="5" min="5" style="157" width="10.140625"/>
    <col customWidth="1" hidden="1" max="6" min="6" style="259" width="9.140625"/>
    <col customWidth="1" hidden="1" max="7" min="7" style="259" width="10"/>
    <col customWidth="1" hidden="1" max="8" min="8" style="259" width="10.42578125"/>
    <col customWidth="1" hidden="1" max="9" min="9" style="259" width="10"/>
    <col customWidth="1" max="10" min="10" style="259" width="10"/>
    <col customWidth="1" hidden="1" max="11" min="11" style="259" width="9.5703125"/>
    <col customWidth="1" hidden="1" max="12" min="12" style="259" width="8.7109375"/>
    <col customWidth="1" hidden="1" max="13" min="13" style="259" width="9.140625"/>
    <col customWidth="1" hidden="1" max="14" min="14" style="259" width="9"/>
    <col customWidth="1" hidden="1" max="15" min="15" style="259" width="14.140625"/>
    <col customWidth="1" hidden="1" max="16" min="16" style="259" width="9.5703125"/>
    <col customWidth="1" max="17" min="17" style="259" width="9.140625"/>
    <col customWidth="1" max="16384" min="18" style="259" width="9.140625"/>
  </cols>
  <sheetData>
    <row customHeight="1" ht="15.75" r="1" s="3" spans="1:17">
      <c r="A1" s="32" t="s">
        <v>71</v>
      </c>
      <c r="N1" s="259" t="n"/>
    </row>
    <row r="2" spans="1:17">
      <c r="H2" s="157" t="n"/>
      <c r="L2" s="259" t="n"/>
    </row>
    <row customFormat="1" customHeight="1" ht="12" r="3" s="189" spans="1:17">
      <c r="A3" s="89" t="s">
        <v>3</v>
      </c>
      <c r="B3" s="215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54" t="s">
        <v>1</v>
      </c>
      <c r="P3" s="131" t="s">
        <v>5</v>
      </c>
    </row>
    <row customFormat="1" customHeight="1" ht="12.75" r="4" s="189" spans="1:17">
      <c r="A4" s="189" t="n"/>
      <c r="B4" s="317" t="s">
        <v>46</v>
      </c>
      <c r="C4" s="318" t="n">
        <v>42956</v>
      </c>
      <c r="D4" s="318" t="n">
        <v>42979</v>
      </c>
      <c r="E4" s="319">
        <f>Electricity!E4</f>
        <v/>
      </c>
      <c r="F4" s="319">
        <f>Electricity!F4</f>
        <v/>
      </c>
      <c r="G4" s="319">
        <f>Electricity!G4</f>
        <v/>
      </c>
      <c r="H4" s="319">
        <f>Electricity!H4</f>
        <v/>
      </c>
      <c r="I4" s="319">
        <f>Electricity!I4</f>
        <v/>
      </c>
      <c r="J4" s="319">
        <f>Electricity!J4</f>
        <v/>
      </c>
      <c r="K4" s="319">
        <f>Electricity!K4</f>
        <v/>
      </c>
      <c r="L4" s="319">
        <f>Electricity!L4</f>
        <v/>
      </c>
      <c r="M4" s="319">
        <f>Electricity!M4</f>
        <v/>
      </c>
      <c r="N4" s="319">
        <f>Electricity!N4</f>
        <v/>
      </c>
      <c r="O4" s="319">
        <f>Electricity!O4</f>
        <v/>
      </c>
      <c r="P4" s="319">
        <f>Electricity!P4</f>
        <v/>
      </c>
    </row>
    <row customFormat="1" customHeight="1" ht="22.5" r="5" s="189" spans="1:17">
      <c r="A5" s="231" t="n"/>
      <c r="B5" s="133" t="s">
        <v>72</v>
      </c>
      <c r="C5" s="320">
        <f>16295.37/20984</f>
        <v/>
      </c>
      <c r="D5" s="321">
        <f>17365.53/22289</f>
        <v/>
      </c>
      <c r="E5" s="321">
        <f>21043.38/29492</f>
        <v/>
      </c>
      <c r="F5" s="322">
        <f>27676.8/37161</f>
        <v/>
      </c>
      <c r="G5" s="322">
        <f>42739.52/51638</f>
        <v/>
      </c>
      <c r="H5" s="322">
        <f>69858.14/81976</f>
        <v/>
      </c>
      <c r="I5" s="322">
        <f>83220.82/94904</f>
        <v/>
      </c>
      <c r="J5" s="322">
        <f>67910.85/74496</f>
        <v/>
      </c>
      <c r="K5" s="322">
        <f>49386.98/55634</f>
        <v/>
      </c>
      <c r="L5" s="322">
        <f>46320.12/(55185)</f>
        <v/>
      </c>
      <c r="M5" s="322">
        <f>24646.85/29498</f>
        <v/>
      </c>
      <c r="N5" s="322">
        <f>16078.41/18907</f>
        <v/>
      </c>
      <c r="O5" s="147" t="n"/>
      <c r="P5" s="133" t="n"/>
    </row>
    <row customFormat="1" customHeight="1" ht="11.25" r="6" s="189" spans="1:17">
      <c r="A6" s="89" t="n"/>
      <c r="B6" s="215" t="n"/>
      <c r="C6" s="215" t="n"/>
      <c r="D6" s="215" t="n"/>
      <c r="E6" s="131" t="n"/>
      <c r="F6" s="131" t="n"/>
      <c r="G6" s="131" t="n"/>
      <c r="H6" s="131" t="n"/>
      <c r="I6" s="131" t="n"/>
      <c r="J6" s="131" t="n"/>
      <c r="K6" s="131" t="n"/>
      <c r="L6" s="131" t="n"/>
      <c r="M6" s="131" t="n"/>
      <c r="N6" s="131" t="n"/>
      <c r="O6" s="148" t="n"/>
    </row>
    <row customFormat="1" customHeight="1" ht="24" r="7" s="189" spans="1:17">
      <c r="A7" s="229" t="s">
        <v>73</v>
      </c>
      <c r="B7" s="189" t="s">
        <v>74</v>
      </c>
      <c r="C7" s="212">
        <f>56099</f>
        <v/>
      </c>
      <c r="D7" s="213" t="n">
        <v>57677</v>
      </c>
      <c r="E7" s="213" t="n">
        <v>60444</v>
      </c>
      <c r="F7" s="138" t="n">
        <v>63416</v>
      </c>
      <c r="G7" s="213" t="n">
        <v>67246</v>
      </c>
      <c r="H7" s="213" t="n">
        <v>70901</v>
      </c>
      <c r="I7" s="213" t="n">
        <v>74582</v>
      </c>
      <c r="J7" s="213" t="n">
        <v>75150</v>
      </c>
      <c r="K7" s="213" t="n">
        <v>42065</v>
      </c>
      <c r="L7" s="138" t="n">
        <v>50373</v>
      </c>
      <c r="M7" s="213" t="n">
        <v>54429</v>
      </c>
      <c r="N7" s="266" t="n">
        <v>55048</v>
      </c>
      <c r="O7" s="149" t="n"/>
      <c r="P7" s="274" t="n"/>
    </row>
    <row customFormat="1" customHeight="1" ht="22.5" r="8" s="189" spans="1:17">
      <c r="A8" s="229" t="n"/>
      <c r="B8" s="189" t="s">
        <v>75</v>
      </c>
      <c r="C8" s="213">
        <f>C7-55048</f>
        <v/>
      </c>
      <c r="D8" s="252">
        <f>D7-C7</f>
        <v/>
      </c>
      <c r="E8" s="252">
        <f>E7-D7</f>
        <v/>
      </c>
      <c r="F8" s="252">
        <f>F7-E7</f>
        <v/>
      </c>
      <c r="G8" s="252">
        <f>G7-F7</f>
        <v/>
      </c>
      <c r="H8" s="213">
        <f>8338</f>
        <v/>
      </c>
      <c r="I8" s="252">
        <f>I7-H7</f>
        <v/>
      </c>
      <c r="J8" s="213">
        <f>J7-I7</f>
        <v/>
      </c>
      <c r="K8" s="213">
        <f>K7-J7</f>
        <v/>
      </c>
      <c r="L8" s="213">
        <f>L7-K7</f>
        <v/>
      </c>
      <c r="M8" s="213">
        <f>M7-L7</f>
        <v/>
      </c>
      <c r="N8" s="213">
        <f>N7-M7</f>
        <v/>
      </c>
      <c r="O8" s="150">
        <f>SUM(C8:N8)</f>
        <v/>
      </c>
      <c r="P8" s="274" t="n"/>
    </row>
    <row customFormat="1" customHeight="1" ht="22.5" r="9" s="189" spans="1:17">
      <c r="A9" s="229" t="n"/>
      <c r="B9" s="189" t="s">
        <v>76</v>
      </c>
      <c r="C9" s="296">
        <f>ROUND(C8*C$5,2)</f>
        <v/>
      </c>
      <c r="D9" s="296">
        <f>ROUND(D8*D$5,2)</f>
        <v/>
      </c>
      <c r="E9" s="296">
        <f>ROUND(E8*E$5,2)</f>
        <v/>
      </c>
      <c r="F9" s="296">
        <f>ROUND(F8*F$5,2)</f>
        <v/>
      </c>
      <c r="G9" s="296">
        <f>ROUND(G8*G$5,2)</f>
        <v/>
      </c>
      <c r="H9" s="296">
        <f>ROUND(H8*H$5,2)</f>
        <v/>
      </c>
      <c r="I9" s="296">
        <f>ROUND(I8*I$5,2)</f>
        <v/>
      </c>
      <c r="J9" s="296">
        <f>ROUND(J8*J$5,2)</f>
        <v/>
      </c>
      <c r="K9" s="296">
        <f>ROUND(K8*K$5,2)</f>
        <v/>
      </c>
      <c r="L9" s="296">
        <f>ROUND(L8*L$5,2)</f>
        <v/>
      </c>
      <c r="M9" s="296">
        <f>ROUND(M8*M$5,2)</f>
        <v/>
      </c>
      <c r="N9" s="296">
        <f>ROUND(N8*N$5,2)</f>
        <v/>
      </c>
      <c r="O9" s="323">
        <f>SUM(C9:N9)</f>
        <v/>
      </c>
      <c r="P9" s="274" t="n"/>
    </row>
    <row customFormat="1" customHeight="1" ht="11.25" r="10" s="189" spans="1:17">
      <c r="A10" s="229" t="n"/>
      <c r="B10" s="189" t="n"/>
      <c r="C10" s="324" t="n"/>
      <c r="D10" s="324" t="n"/>
      <c r="E10" s="324" t="n"/>
      <c r="F10" s="325" t="n"/>
      <c r="G10" s="325" t="n"/>
      <c r="H10" s="325" t="n"/>
      <c r="I10" s="325" t="n"/>
      <c r="J10" s="325" t="n"/>
      <c r="K10" s="325" t="n"/>
      <c r="L10" s="325" t="n"/>
      <c r="M10" s="325" t="n"/>
      <c r="N10" s="325" t="n"/>
      <c r="O10" s="323" t="n"/>
      <c r="P10" s="274" t="n"/>
    </row>
    <row customFormat="1" customHeight="1" ht="22.5" r="11" s="189" spans="1:17">
      <c r="A11" s="229" t="s">
        <v>77</v>
      </c>
      <c r="B11" s="189" t="s">
        <v>78</v>
      </c>
      <c r="C11" s="212" t="n">
        <v>44738</v>
      </c>
      <c r="D11" s="213" t="n">
        <v>44738</v>
      </c>
      <c r="E11" s="213" t="n">
        <v>44738</v>
      </c>
      <c r="F11" s="213" t="n">
        <v>44738</v>
      </c>
      <c r="G11" s="213" t="n">
        <v>44738</v>
      </c>
      <c r="H11" s="213" t="n">
        <v>44738</v>
      </c>
      <c r="I11" s="138" t="n">
        <v>0</v>
      </c>
      <c r="J11" s="138" t="n">
        <v>731</v>
      </c>
      <c r="K11" s="138" t="n">
        <v>44738</v>
      </c>
      <c r="L11" s="138" t="n">
        <v>44738</v>
      </c>
      <c r="M11" s="138" t="n">
        <v>44738</v>
      </c>
      <c r="N11" s="138" t="n">
        <v>44738</v>
      </c>
      <c r="O11" s="149" t="n"/>
      <c r="Q11" s="156" t="n"/>
    </row>
    <row customFormat="1" customHeight="1" ht="22.5" r="12" s="189" spans="1:17">
      <c r="A12" s="229" t="n"/>
      <c r="B12" s="189" t="s">
        <v>75</v>
      </c>
      <c r="C12" s="213">
        <f>(103+79)/2</f>
        <v/>
      </c>
      <c r="D12" s="252">
        <f>(195+185)/2</f>
        <v/>
      </c>
      <c r="E12" s="252">
        <f>(635+433)/2</f>
        <v/>
      </c>
      <c r="F12" s="252">
        <f>(576.5+633)/2</f>
        <v/>
      </c>
      <c r="G12" s="252">
        <f>AVERAGE(454,476)</f>
        <v/>
      </c>
      <c r="H12" s="252" t="n">
        <v>366</v>
      </c>
      <c r="I12" s="252">
        <f>AVERAGE(514,313)</f>
        <v/>
      </c>
      <c r="J12" s="252">
        <f>J11-I11</f>
        <v/>
      </c>
      <c r="K12" s="252">
        <f>(425+344)/2</f>
        <v/>
      </c>
      <c r="L12" s="252">
        <f>(430+462)/2</f>
        <v/>
      </c>
      <c r="M12" s="252">
        <f>(279+254)/2</f>
        <v/>
      </c>
      <c r="N12" s="252" t="n">
        <v>84</v>
      </c>
      <c r="O12" s="150">
        <f>SUM(C12:N12)</f>
        <v/>
      </c>
      <c r="P12" s="274" t="n"/>
    </row>
    <row customFormat="1" customHeight="1" ht="22.5" r="13" s="104" spans="1:17">
      <c r="A13" s="230" t="n"/>
      <c r="B13" s="189" t="s">
        <v>76</v>
      </c>
      <c r="C13" s="296">
        <f>ROUND(C12*C$5,2)</f>
        <v/>
      </c>
      <c r="D13" s="296">
        <f>ROUND(D12*D$5,2)</f>
        <v/>
      </c>
      <c r="E13" s="296">
        <f>ROUND(E12*E$5,2)</f>
        <v/>
      </c>
      <c r="F13" s="296">
        <f>ROUND(F12*F$5,2)</f>
        <v/>
      </c>
      <c r="G13" s="296">
        <f>ROUND(G12*G$5,2)</f>
        <v/>
      </c>
      <c r="H13" s="296">
        <f>ROUND(H12*H$5,2)</f>
        <v/>
      </c>
      <c r="I13" s="296">
        <f>ROUND(I12*I$5,2)</f>
        <v/>
      </c>
      <c r="J13" s="296">
        <f>ROUND(J12*J$5,2)</f>
        <v/>
      </c>
      <c r="K13" s="296">
        <f>ROUND(K12*K$5,2)</f>
        <v/>
      </c>
      <c r="L13" s="296">
        <f>ROUND(L12*L$5,2)</f>
        <v/>
      </c>
      <c r="M13" s="296">
        <f>ROUND(M12*M$5,2)</f>
        <v/>
      </c>
      <c r="N13" s="296">
        <f>N12*N$5</f>
        <v/>
      </c>
      <c r="O13" s="323">
        <f>SUM(C13:N13)</f>
        <v/>
      </c>
      <c r="P13" s="141" t="n"/>
    </row>
    <row customFormat="1" r="14" s="104" spans="1:17">
      <c r="A14" s="230" t="n"/>
      <c r="B14" s="189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6" t="n"/>
      <c r="M14" s="326" t="n"/>
      <c r="N14" s="326" t="n"/>
      <c r="O14" s="323" t="n"/>
      <c r="P14" s="141" t="n"/>
    </row>
    <row customFormat="1" customHeight="1" ht="22.5" r="15" s="104" spans="1:17">
      <c r="A15" s="142" t="s">
        <v>23</v>
      </c>
      <c r="B15" s="189" t="s">
        <v>74</v>
      </c>
      <c r="C15" s="212" t="n">
        <v>74260</v>
      </c>
      <c r="D15" s="213" t="n">
        <v>74290</v>
      </c>
      <c r="E15" s="217" t="n">
        <v>74657</v>
      </c>
      <c r="F15" s="138" t="n">
        <v>75075</v>
      </c>
      <c r="G15" s="138" t="n">
        <v>75554</v>
      </c>
      <c r="H15" s="138" t="n">
        <v>75991</v>
      </c>
      <c r="I15" s="138" t="n">
        <v>76515</v>
      </c>
      <c r="J15" s="138" t="n">
        <v>77223</v>
      </c>
      <c r="K15" s="138" t="n">
        <v>73264</v>
      </c>
      <c r="L15" s="138" t="n">
        <v>73786</v>
      </c>
      <c r="M15" s="138" t="n">
        <v>74026</v>
      </c>
      <c r="N15" s="138" t="n">
        <v>74095</v>
      </c>
      <c r="O15" s="323" t="n"/>
      <c r="P15" s="141" t="n"/>
    </row>
    <row customFormat="1" customHeight="1" ht="22.5" r="16" s="104" spans="1:17">
      <c r="A16" s="142" t="s">
        <v>24</v>
      </c>
      <c r="B16" s="189" t="s">
        <v>75</v>
      </c>
      <c r="C16" s="217">
        <f>((C15-74095)/54)*31</f>
        <v/>
      </c>
      <c r="D16" s="269">
        <f>(D15-74095-C16)</f>
        <v/>
      </c>
      <c r="E16" s="252">
        <f>E15-D15</f>
        <v/>
      </c>
      <c r="F16" s="252">
        <f>F15-E15</f>
        <v/>
      </c>
      <c r="G16" s="252">
        <f>G15-F15</f>
        <v/>
      </c>
      <c r="H16" s="252">
        <f>H15-G15</f>
        <v/>
      </c>
      <c r="I16" s="252">
        <f>I15-H15</f>
        <v/>
      </c>
      <c r="J16" s="252">
        <f>J15-I15</f>
        <v/>
      </c>
      <c r="K16" s="252">
        <f>K15-J15</f>
        <v/>
      </c>
      <c r="L16" s="252">
        <f>L15-K15</f>
        <v/>
      </c>
      <c r="M16" s="252">
        <f>M15-L15</f>
        <v/>
      </c>
      <c r="N16" s="252">
        <f>N15-M15</f>
        <v/>
      </c>
      <c r="O16" s="150">
        <f>SUM(C16:N16)</f>
        <v/>
      </c>
      <c r="P16" s="141" t="n"/>
    </row>
    <row customFormat="1" customHeight="1" ht="22.5" r="17" s="104" spans="1:17">
      <c r="A17" s="230" t="n"/>
      <c r="B17" s="189" t="s">
        <v>76</v>
      </c>
      <c r="C17" s="296">
        <f>ROUND(C16*C$5,2)</f>
        <v/>
      </c>
      <c r="D17" s="296">
        <f>ROUND(D16*D$5,2)</f>
        <v/>
      </c>
      <c r="E17" s="296">
        <f>ROUND(E16*E$5,2)</f>
        <v/>
      </c>
      <c r="F17" s="296">
        <f>ROUND(F16*F$5,2)</f>
        <v/>
      </c>
      <c r="G17" s="296">
        <f>ROUND(G16*G$5,2)</f>
        <v/>
      </c>
      <c r="H17" s="296">
        <f>ROUND(H16*H$5,2)</f>
        <v/>
      </c>
      <c r="I17" s="296">
        <f>ROUND(I16*I$5,2)</f>
        <v/>
      </c>
      <c r="J17" s="296">
        <f>ROUND(J16*J$5,2)</f>
        <v/>
      </c>
      <c r="K17" s="296">
        <f>ROUND(K16*K$5,2)</f>
        <v/>
      </c>
      <c r="L17" s="296">
        <f>ROUND(L16*L$5,2)</f>
        <v/>
      </c>
      <c r="M17" s="296">
        <f>ROUND(M16*M$5,2)</f>
        <v/>
      </c>
      <c r="N17" s="326">
        <f>N16*N$5</f>
        <v/>
      </c>
      <c r="O17" s="323">
        <f>SUM(C17:N17)</f>
        <v/>
      </c>
      <c r="P17" s="141" t="n"/>
    </row>
    <row customFormat="1" r="18" s="104" spans="1:17">
      <c r="A18" s="230" t="n"/>
      <c r="B18" s="189" t="n"/>
      <c r="C18" s="326" t="n"/>
      <c r="D18" s="326" t="n"/>
      <c r="E18" s="326" t="n"/>
      <c r="F18" s="326" t="n"/>
      <c r="G18" s="326" t="n"/>
      <c r="H18" s="326" t="n"/>
      <c r="I18" s="326" t="n"/>
      <c r="J18" s="326" t="n"/>
      <c r="K18" s="326" t="n"/>
      <c r="L18" s="326" t="n"/>
      <c r="M18" s="326" t="n"/>
      <c r="N18" s="326" t="n"/>
      <c r="O18" s="323" t="n"/>
      <c r="P18" s="141" t="n"/>
    </row>
    <row customFormat="1" r="19" s="104" spans="1:17">
      <c r="A19" s="142" t="s">
        <v>25</v>
      </c>
      <c r="B19" s="317" t="s">
        <v>46</v>
      </c>
      <c r="C19" s="219">
        <f>C4</f>
        <v/>
      </c>
      <c r="D19" s="219">
        <f>D4</f>
        <v/>
      </c>
      <c r="E19" s="219">
        <f>E4</f>
        <v/>
      </c>
      <c r="F19" s="219">
        <f>F4</f>
        <v/>
      </c>
      <c r="G19" s="219">
        <f>G4</f>
        <v/>
      </c>
      <c r="H19" s="219">
        <f>H4</f>
        <v/>
      </c>
      <c r="I19" s="219">
        <f>I4</f>
        <v/>
      </c>
      <c r="J19" s="219">
        <f>J4</f>
        <v/>
      </c>
      <c r="K19" s="219">
        <f>K4</f>
        <v/>
      </c>
      <c r="L19" s="219">
        <f>$L$4</f>
        <v/>
      </c>
      <c r="M19" s="219">
        <f>$M$4</f>
        <v/>
      </c>
      <c r="N19" s="219" t="n">
        <v>42186</v>
      </c>
      <c r="O19" s="323" t="n"/>
      <c r="P19" s="141" t="n"/>
    </row>
    <row customFormat="1" customHeight="1" ht="22.5" r="20" s="142" spans="1:17">
      <c r="A20" s="142" t="s">
        <v>26</v>
      </c>
      <c r="B20" s="189" t="s">
        <v>74</v>
      </c>
      <c r="C20" s="212" t="n">
        <v>60267</v>
      </c>
      <c r="D20" s="212" t="n">
        <v>60355</v>
      </c>
      <c r="E20" s="212" t="n">
        <v>60845</v>
      </c>
      <c r="F20" s="209" t="n">
        <v>61548</v>
      </c>
      <c r="G20" s="209" t="n">
        <v>62740</v>
      </c>
      <c r="H20" s="209" t="n">
        <v>64496</v>
      </c>
      <c r="I20" s="209" t="n">
        <v>65923</v>
      </c>
      <c r="J20" s="209" t="n">
        <v>67699</v>
      </c>
      <c r="K20" s="209" t="n">
        <v>58967</v>
      </c>
      <c r="L20" s="209" t="n">
        <v>59721</v>
      </c>
      <c r="M20" s="209" t="n">
        <v>60024</v>
      </c>
      <c r="N20" s="209" t="n">
        <v>60118</v>
      </c>
      <c r="O20" s="327" t="n"/>
      <c r="P20" s="142" t="n"/>
    </row>
    <row customFormat="1" customHeight="1" ht="22.5" r="21" s="142" spans="1:17">
      <c r="A21" s="142" t="n"/>
      <c r="B21" s="189" t="s">
        <v>75</v>
      </c>
      <c r="C21" s="218">
        <f>((C20-60118)/50)*31</f>
        <v/>
      </c>
      <c r="D21" s="252">
        <f>D20-60118-C21</f>
        <v/>
      </c>
      <c r="E21" s="252">
        <f>E20-D20</f>
        <v/>
      </c>
      <c r="F21" s="252">
        <f>F20-E20</f>
        <v/>
      </c>
      <c r="G21" s="252">
        <f>G20-F20</f>
        <v/>
      </c>
      <c r="H21" s="252">
        <f>H20-G20</f>
        <v/>
      </c>
      <c r="I21" s="252">
        <f>I20-H20</f>
        <v/>
      </c>
      <c r="J21" s="252">
        <f>J20-I20</f>
        <v/>
      </c>
      <c r="K21" s="252">
        <f>K20-J20</f>
        <v/>
      </c>
      <c r="L21" s="252">
        <f>L20-K20</f>
        <v/>
      </c>
      <c r="M21" s="252">
        <f>M20-L20</f>
        <v/>
      </c>
      <c r="N21" s="252">
        <f>N20-M20</f>
        <v/>
      </c>
      <c r="O21" s="150">
        <f>SUM(C21:N21)</f>
        <v/>
      </c>
      <c r="P21" s="142" t="n"/>
    </row>
    <row customFormat="1" customHeight="1" ht="22.5" r="22" s="142" spans="1:17">
      <c r="A22" s="142" t="n"/>
      <c r="B22" s="189" t="s">
        <v>76</v>
      </c>
      <c r="C22" s="296">
        <f>ROUND(C21*C$5,2)</f>
        <v/>
      </c>
      <c r="D22" s="296">
        <f>ROUND(D21*D$5,2)</f>
        <v/>
      </c>
      <c r="E22" s="296">
        <f>ROUND(E21*E$5,2)</f>
        <v/>
      </c>
      <c r="F22" s="296">
        <f>ROUND(F21*F$5,2)</f>
        <v/>
      </c>
      <c r="G22" s="296">
        <f>ROUND(G21*G$5,2)</f>
        <v/>
      </c>
      <c r="H22" s="296">
        <f>ROUND(H21*H$5,2)</f>
        <v/>
      </c>
      <c r="I22" s="296">
        <f>ROUND(I21*I$5,2)</f>
        <v/>
      </c>
      <c r="J22" s="296">
        <f>ROUND(J21*J$5,2)</f>
        <v/>
      </c>
      <c r="K22" s="296">
        <f>ROUND(K21*K$5,2)</f>
        <v/>
      </c>
      <c r="L22" s="296">
        <f>ROUND(L21*L$5,2)</f>
        <v/>
      </c>
      <c r="M22" s="296">
        <f>ROUND(M21*M$5,2)</f>
        <v/>
      </c>
      <c r="N22" s="296">
        <f>ROUND(N21*N$5,2)</f>
        <v/>
      </c>
      <c r="O22" s="327">
        <f>SUM(C22:N22)</f>
        <v/>
      </c>
      <c r="P22" s="142" t="n"/>
    </row>
    <row customFormat="1" customHeight="1" ht="11.25" r="23" s="142" spans="1:17">
      <c r="A23" s="142" t="n"/>
      <c r="B23" s="189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328" t="n"/>
      <c r="N23" s="328" t="n"/>
      <c r="O23" s="327" t="n"/>
      <c r="P23" s="142" t="n"/>
    </row>
    <row customFormat="1" customHeight="1" ht="11.25" r="24" s="142" spans="1:17">
      <c r="A24" s="142" t="s">
        <v>27</v>
      </c>
      <c r="B24" s="317" t="s">
        <v>46</v>
      </c>
      <c r="C24" s="219">
        <f>C4</f>
        <v/>
      </c>
      <c r="D24" s="219">
        <f>D4</f>
        <v/>
      </c>
      <c r="E24" s="219">
        <f>E4</f>
        <v/>
      </c>
      <c r="F24" s="219">
        <f>F4</f>
        <v/>
      </c>
      <c r="G24" s="219">
        <f>G4</f>
        <v/>
      </c>
      <c r="H24" s="219">
        <f>H4</f>
        <v/>
      </c>
      <c r="I24" s="219">
        <f>I4</f>
        <v/>
      </c>
      <c r="J24" s="219">
        <f>J4</f>
        <v/>
      </c>
      <c r="K24" s="219">
        <f>K4</f>
        <v/>
      </c>
      <c r="L24" s="219">
        <f>$L$4</f>
        <v/>
      </c>
      <c r="M24" s="219">
        <f>$M$4</f>
        <v/>
      </c>
      <c r="N24" s="219" t="n">
        <v>42186</v>
      </c>
      <c r="O24" s="327" t="n"/>
      <c r="P24" s="142" t="n"/>
    </row>
    <row customFormat="1" customHeight="1" ht="22.5" r="25" s="142" spans="1:17">
      <c r="A25" s="142" t="s">
        <v>28</v>
      </c>
      <c r="B25" s="189" t="s">
        <v>74</v>
      </c>
      <c r="C25" s="212" t="n">
        <v>52731</v>
      </c>
      <c r="D25" s="212" t="n">
        <v>52838</v>
      </c>
      <c r="E25" s="212" t="n">
        <v>53433</v>
      </c>
      <c r="F25" s="209" t="n">
        <v>54063</v>
      </c>
      <c r="G25" s="209" t="n">
        <v>54833</v>
      </c>
      <c r="H25" s="209" t="n">
        <v>55557</v>
      </c>
      <c r="I25" s="209" t="n">
        <v>56245</v>
      </c>
      <c r="J25" s="209" t="n">
        <v>57377</v>
      </c>
      <c r="K25" s="209" t="n">
        <v>51273</v>
      </c>
      <c r="L25" s="209" t="n">
        <v>51925</v>
      </c>
      <c r="M25" s="209" t="n">
        <v>52241</v>
      </c>
      <c r="N25" s="209" t="n">
        <v>52391</v>
      </c>
      <c r="O25" s="327" t="n"/>
      <c r="P25" s="142" t="n"/>
    </row>
    <row customFormat="1" customHeight="1" ht="22.5" r="26" s="142" spans="1:17">
      <c r="A26" s="142" t="n"/>
      <c r="B26" s="189" t="s">
        <v>75</v>
      </c>
      <c r="C26" s="218">
        <f>((C25-52391)/50)*31</f>
        <v/>
      </c>
      <c r="D26" s="252">
        <f>D25-C26-52391</f>
        <v/>
      </c>
      <c r="E26" s="252">
        <f>E25-D25</f>
        <v/>
      </c>
      <c r="F26" s="252">
        <f>F25-E25</f>
        <v/>
      </c>
      <c r="G26" s="252">
        <f>G25-F25</f>
        <v/>
      </c>
      <c r="H26" s="252">
        <f>H25-G25</f>
        <v/>
      </c>
      <c r="I26" s="252">
        <f>I25-H25</f>
        <v/>
      </c>
      <c r="J26" s="252">
        <f>J25-I25</f>
        <v/>
      </c>
      <c r="K26" s="252">
        <f>K25-J25</f>
        <v/>
      </c>
      <c r="L26" s="252">
        <f>L25-K25</f>
        <v/>
      </c>
      <c r="M26" s="252">
        <f>M25-L25</f>
        <v/>
      </c>
      <c r="N26" s="252">
        <f>N25-M25</f>
        <v/>
      </c>
      <c r="O26" s="150">
        <f>SUM(C26:N26)</f>
        <v/>
      </c>
      <c r="P26" s="142" t="n"/>
    </row>
    <row customFormat="1" customHeight="1" ht="22.5" r="27" s="142" spans="1:17">
      <c r="A27" s="142" t="n"/>
      <c r="B27" s="189" t="s">
        <v>76</v>
      </c>
      <c r="C27" s="296">
        <f>ROUND(C26*C$5,2)</f>
        <v/>
      </c>
      <c r="D27" s="296">
        <f>ROUND(D26*D$5,2)</f>
        <v/>
      </c>
      <c r="E27" s="296">
        <f>ROUND(E26*E$5,2)</f>
        <v/>
      </c>
      <c r="F27" s="296">
        <f>ROUND(F26*F$5,2)</f>
        <v/>
      </c>
      <c r="G27" s="296">
        <f>ROUND(G26*G$5,2)</f>
        <v/>
      </c>
      <c r="H27" s="296">
        <f>ROUND(H26*H$5,2)</f>
        <v/>
      </c>
      <c r="I27" s="296">
        <f>ROUND(I26*I$5,2)</f>
        <v/>
      </c>
      <c r="J27" s="296">
        <f>ROUND(J26*J$5,2)</f>
        <v/>
      </c>
      <c r="K27" s="296">
        <f>ROUND(K26*K$5,2)</f>
        <v/>
      </c>
      <c r="L27" s="296">
        <f>ROUND(L26*L$5,2)</f>
        <v/>
      </c>
      <c r="M27" s="296">
        <f>ROUND(M26*M$5,2)</f>
        <v/>
      </c>
      <c r="N27" s="296">
        <f>ROUND(N26*N$5,2)</f>
        <v/>
      </c>
      <c r="O27" s="327">
        <f>SUM(C27:N27)</f>
        <v/>
      </c>
      <c r="P27" s="142" t="n"/>
    </row>
    <row customFormat="1" customHeight="1" ht="11.25" r="28" s="142" spans="1:17">
      <c r="A28" s="142" t="n"/>
      <c r="B28" s="189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  <c r="M28" s="326" t="n"/>
      <c r="N28" s="326" t="n"/>
      <c r="O28" s="327" t="n"/>
      <c r="P28" s="142" t="n"/>
    </row>
    <row customFormat="1" customHeight="1" ht="11.25" r="29" s="142" spans="1:17">
      <c r="A29" s="142" t="s">
        <v>29</v>
      </c>
      <c r="B29" s="317" t="s">
        <v>46</v>
      </c>
      <c r="C29" s="219">
        <f>C4</f>
        <v/>
      </c>
      <c r="D29" s="219">
        <f>D4</f>
        <v/>
      </c>
      <c r="E29" s="219">
        <f>E4</f>
        <v/>
      </c>
      <c r="F29" s="219">
        <f>F4</f>
        <v/>
      </c>
      <c r="G29" s="219">
        <f>G4</f>
        <v/>
      </c>
      <c r="H29" s="219">
        <f>H24</f>
        <v/>
      </c>
      <c r="I29" s="219">
        <f>I24</f>
        <v/>
      </c>
      <c r="J29" s="219">
        <f>J4</f>
        <v/>
      </c>
      <c r="K29" s="219">
        <f>K4</f>
        <v/>
      </c>
      <c r="L29" s="219">
        <f>$L$4</f>
        <v/>
      </c>
      <c r="M29" s="219">
        <f>$M$4</f>
        <v/>
      </c>
      <c r="N29" s="219" t="n">
        <v>42186</v>
      </c>
      <c r="O29" s="327" t="n"/>
      <c r="P29" s="142" t="n"/>
    </row>
    <row customFormat="1" customHeight="1" ht="22.5" r="30" s="142" spans="1:17">
      <c r="A30" s="142" t="s">
        <v>28</v>
      </c>
      <c r="B30" s="189" t="s">
        <v>74</v>
      </c>
      <c r="C30" s="212" t="n">
        <v>47941</v>
      </c>
      <c r="D30" s="212" t="n">
        <v>48326</v>
      </c>
      <c r="E30" s="212" t="n">
        <v>49260</v>
      </c>
      <c r="F30" s="212" t="n">
        <v>50297</v>
      </c>
      <c r="G30" s="209" t="n">
        <v>51661</v>
      </c>
      <c r="H30" s="209" t="n">
        <v>52807</v>
      </c>
      <c r="I30" s="209" t="n">
        <v>54285</v>
      </c>
      <c r="J30" s="209" t="n">
        <v>56121</v>
      </c>
      <c r="K30" s="209" t="n">
        <v>45339</v>
      </c>
      <c r="L30" s="209" t="n">
        <v>46324</v>
      </c>
      <c r="M30" s="209" t="n">
        <v>46955</v>
      </c>
      <c r="N30" s="209" t="n">
        <v>47491</v>
      </c>
      <c r="O30" s="327" t="n"/>
      <c r="P30" s="142" t="n"/>
    </row>
    <row customFormat="1" customHeight="1" ht="22.5" r="31" s="142" spans="1:17">
      <c r="A31" s="142" t="n"/>
      <c r="B31" s="189" t="s">
        <v>75</v>
      </c>
      <c r="C31" s="218">
        <f>C30-47491</f>
        <v/>
      </c>
      <c r="D31" s="252">
        <f>D30-C30</f>
        <v/>
      </c>
      <c r="E31" s="252">
        <f>E30-D30</f>
        <v/>
      </c>
      <c r="F31" s="252">
        <f>F30-E30</f>
        <v/>
      </c>
      <c r="G31" s="252">
        <f>G30-F30</f>
        <v/>
      </c>
      <c r="H31" s="252">
        <f>H30-G30</f>
        <v/>
      </c>
      <c r="I31" s="252">
        <f>I30-H30</f>
        <v/>
      </c>
      <c r="J31" s="252">
        <f>J30-I30</f>
        <v/>
      </c>
      <c r="K31" s="252">
        <f>K30-J30</f>
        <v/>
      </c>
      <c r="L31" s="252">
        <f>L30-K30</f>
        <v/>
      </c>
      <c r="M31" s="252">
        <f>M30-L30</f>
        <v/>
      </c>
      <c r="N31" s="252">
        <f>N30-M30</f>
        <v/>
      </c>
      <c r="O31" s="150">
        <f>SUM(C31:N31)</f>
        <v/>
      </c>
      <c r="P31" s="142" t="n"/>
    </row>
    <row customFormat="1" customHeight="1" ht="22.5" r="32" s="142" spans="1:17">
      <c r="A32" s="142" t="n"/>
      <c r="B32" s="189" t="s">
        <v>76</v>
      </c>
      <c r="C32" s="296">
        <f>ROUND(C31*C$5,2)</f>
        <v/>
      </c>
      <c r="D32" s="296">
        <f>ROUND(D31*D$5,2)</f>
        <v/>
      </c>
      <c r="E32" s="296">
        <f>ROUND(E31*E$5,2)</f>
        <v/>
      </c>
      <c r="F32" s="296">
        <f>ROUND(F31*F$5,2)</f>
        <v/>
      </c>
      <c r="G32" s="296">
        <f>ROUND(G31*G$5,2)</f>
        <v/>
      </c>
      <c r="H32" s="296">
        <f>ROUND(H31*H$5,2)</f>
        <v/>
      </c>
      <c r="I32" s="296">
        <f>ROUND(I31*I$5,2)</f>
        <v/>
      </c>
      <c r="J32" s="296">
        <f>ROUND(J31*J$5,2)</f>
        <v/>
      </c>
      <c r="K32" s="296">
        <f>ROUND(K31*K$5,2)</f>
        <v/>
      </c>
      <c r="L32" s="296">
        <f>ROUND(L31*L$5,2)</f>
        <v/>
      </c>
      <c r="M32" s="296">
        <f>ROUND(M31*M$5,2)</f>
        <v/>
      </c>
      <c r="N32" s="296">
        <f>ROUND(N31*N$5,2)</f>
        <v/>
      </c>
      <c r="O32" s="327">
        <f>SUM(C32:N32)</f>
        <v/>
      </c>
      <c r="P32" s="142" t="n"/>
    </row>
    <row customFormat="1" customHeight="1" ht="11.25" r="33" s="142" spans="1:17">
      <c r="A33" s="142" t="n"/>
      <c r="B33" s="189" t="n"/>
      <c r="C33" s="326" t="n"/>
      <c r="D33" s="326" t="n"/>
      <c r="E33" s="326" t="n"/>
      <c r="F33" s="326" t="n"/>
      <c r="G33" s="326" t="n"/>
      <c r="H33" s="326" t="n"/>
      <c r="I33" s="326" t="n"/>
      <c r="J33" s="326" t="n"/>
      <c r="K33" s="326" t="n"/>
      <c r="L33" s="326" t="n"/>
      <c r="M33" s="326" t="n"/>
      <c r="N33" s="326" t="n"/>
      <c r="O33" s="327" t="n"/>
      <c r="P33" s="142" t="n"/>
    </row>
    <row customFormat="1" customHeight="1" ht="22.5" r="34" s="104" spans="1:17">
      <c r="A34" s="231" t="s">
        <v>79</v>
      </c>
      <c r="B34" s="133" t="s">
        <v>80</v>
      </c>
      <c r="C34" s="329" t="n"/>
      <c r="D34" s="330" t="n"/>
      <c r="E34" s="331" t="n"/>
      <c r="F34" s="331" t="n"/>
      <c r="G34" s="331" t="n"/>
      <c r="H34" s="331" t="n"/>
      <c r="I34" s="331" t="n"/>
      <c r="J34" s="331" t="n"/>
      <c r="K34" s="331" t="n"/>
      <c r="L34" s="331" t="n"/>
      <c r="M34" s="331" t="n"/>
      <c r="N34" s="331" t="n"/>
      <c r="O34" s="332" t="n"/>
      <c r="P34" s="143" t="n"/>
    </row>
    <row customFormat="1" r="35" s="104" spans="1:17">
      <c r="A35" s="142" t="s">
        <v>81</v>
      </c>
      <c r="B35" s="189" t="n"/>
      <c r="C35" s="138">
        <f>C8+C12+C31+C16+C21+C26</f>
        <v/>
      </c>
      <c r="D35" s="138">
        <f>D8+D12+D31+D16+D21+D26</f>
        <v/>
      </c>
      <c r="E35" s="138">
        <f>E8+E12+E31+E16+E21+E26</f>
        <v/>
      </c>
      <c r="F35" s="138">
        <f>F8+F12+F31+F16+F21+F26</f>
        <v/>
      </c>
      <c r="G35" s="138">
        <f>G8+G12+G31+G16+G21+G26</f>
        <v/>
      </c>
      <c r="H35" s="138">
        <f>H8+H12+H31+H16+H21+H26</f>
        <v/>
      </c>
      <c r="I35" s="138">
        <f>I8+I12+I31+I16+I21+I26</f>
        <v/>
      </c>
      <c r="J35" s="138">
        <f>J8+J12+J31+J16+J21+J26</f>
        <v/>
      </c>
      <c r="K35" s="138">
        <f>K8+K12+K31+K16+K21+K26</f>
        <v/>
      </c>
      <c r="L35" s="138">
        <f>L8+L12+L31+L16+L21+L26</f>
        <v/>
      </c>
      <c r="M35" s="138">
        <f>M8+M12+M31+M16+M21+M26</f>
        <v/>
      </c>
      <c r="N35" s="138">
        <f>N8+N12+N31+N16+N21+N26</f>
        <v/>
      </c>
      <c r="O35" s="138">
        <f>O8+O12+O16+O21+O26+O31</f>
        <v/>
      </c>
      <c r="P35" s="138">
        <f>SUM(C35:N35)</f>
        <v/>
      </c>
    </row>
    <row r="36" spans="1:17">
      <c r="A36" s="142" t="s">
        <v>82</v>
      </c>
      <c r="B36" s="142" t="n"/>
      <c r="C36" s="296">
        <f>ROUND(C17+C22+C32+C27+(C13+C9)*20/24,2)</f>
        <v/>
      </c>
      <c r="D36" s="296">
        <f>ROUND(D17+D22+D32+D27+(D13+D9)*20/24,2)</f>
        <v/>
      </c>
      <c r="E36" s="296">
        <f>ROUND(E17+E22+E32+E27+(E13+E9)*20/24,2)</f>
        <v/>
      </c>
      <c r="F36" s="296">
        <f>ROUND(F17+F22+F32+F27+(F13+F9)*20/24,2)</f>
        <v/>
      </c>
      <c r="G36" s="296">
        <f>ROUND(G17+G22+G32+G27+(G13+G9)*20/24,2)</f>
        <v/>
      </c>
      <c r="H36" s="296">
        <f>ROUND(H17+H22+H32+H27+(H13+H9)*20/24,2)</f>
        <v/>
      </c>
      <c r="I36" s="296">
        <f>ROUND(I17+I22+I32+I27+(I13+I9)*20/24,2)</f>
        <v/>
      </c>
      <c r="J36" s="296">
        <f>ROUND(J17+J22+J32+J27+(J13+J9)*20/24,2)</f>
        <v/>
      </c>
      <c r="K36" s="296">
        <f>ROUND(K17+K22+K32+K27+(K13+K9)*20/24,2)</f>
        <v/>
      </c>
      <c r="L36" s="296">
        <f>ROUND(L17+L22+L32+L27+(L13+L9)*20/24,2)</f>
        <v/>
      </c>
      <c r="M36" s="296">
        <f>ROUND(M17+M22+M32+M27+(M13+M9)*20/24,2)</f>
        <v/>
      </c>
      <c r="N36" s="296">
        <f>ROUND(N17+N22+N32+N27+(N13+N9)*20/24,2)</f>
        <v/>
      </c>
      <c r="O36" s="296">
        <f>ROUND((20/24)*(O9+O13)+O17+O22+O27+O32,2)</f>
        <v/>
      </c>
      <c r="P36" s="296">
        <f>SUM(C36:N36)</f>
        <v/>
      </c>
    </row>
    <row r="37" spans="1:17">
      <c r="A37" s="230" t="n"/>
      <c r="E37" s="138" t="n"/>
      <c r="J37" s="296" t="n"/>
    </row>
    <row hidden="1" r="38" s="3" spans="1:17">
      <c r="E38" s="296">
        <f>E11+#REF!+E19+E24+E35</f>
        <v/>
      </c>
      <c r="F38" s="156" t="n">
        <v>5226846</v>
      </c>
      <c r="G38" s="156" t="n">
        <v>9731922</v>
      </c>
      <c r="H38" s="156" t="n">
        <v>12684409</v>
      </c>
      <c r="I38" s="156" t="n">
        <v>20538432</v>
      </c>
      <c r="J38" s="156" t="n">
        <v>27244690</v>
      </c>
      <c r="K38" s="156" t="n">
        <v>30649348</v>
      </c>
      <c r="L38" s="156" t="n">
        <v>35610076</v>
      </c>
      <c r="M38" s="156" t="n"/>
      <c r="N38" s="156" t="n"/>
    </row>
    <row hidden="1" r="39" s="3" spans="1:17">
      <c r="A39" s="139" t="n"/>
      <c r="E39" s="158" t="n"/>
      <c r="F39" s="156">
        <f>F38-E38</f>
        <v/>
      </c>
      <c r="G39" s="156">
        <f>G38-F38</f>
        <v/>
      </c>
      <c r="H39" s="156">
        <f>H38-G38</f>
        <v/>
      </c>
      <c r="I39" s="156">
        <f>I38-H38</f>
        <v/>
      </c>
      <c r="J39" s="156">
        <f>J38-I38</f>
        <v/>
      </c>
      <c r="K39" s="156">
        <f>K38-J38</f>
        <v/>
      </c>
      <c r="L39" s="156">
        <f>L38-K38</f>
        <v/>
      </c>
      <c r="M39" s="156" t="n"/>
      <c r="N39" s="156" t="n"/>
    </row>
    <row hidden="1" r="40" s="3" spans="1:17">
      <c r="A40" s="139" t="n"/>
      <c r="G40" s="259">
        <f>G39/#REF!</f>
        <v/>
      </c>
      <c r="H40" s="259">
        <f>H39/#REF!</f>
        <v/>
      </c>
      <c r="I40" s="259">
        <f>I39/#REF!</f>
        <v/>
      </c>
      <c r="J40" s="259">
        <f>J39/#REF!</f>
        <v/>
      </c>
      <c r="K40" s="259">
        <f>K39/#REF!</f>
        <v/>
      </c>
    </row>
    <row hidden="1" r="41" s="3" spans="1:17">
      <c r="A41" s="139" t="n"/>
      <c r="G41" s="259">
        <f>G39/6000</f>
        <v/>
      </c>
      <c r="H41" s="259">
        <f>H39/6000</f>
        <v/>
      </c>
      <c r="I41" s="259">
        <f>I39/6000</f>
        <v/>
      </c>
      <c r="J41" s="259">
        <f>J39/6000</f>
        <v/>
      </c>
      <c r="K41" s="259">
        <f>K39/6000</f>
        <v/>
      </c>
    </row>
    <row r="42" spans="1:17">
      <c r="A42" s="139" t="s">
        <v>34</v>
      </c>
      <c r="P42" s="333" t="n"/>
    </row>
    <row r="43" spans="1:17">
      <c r="A43" s="139" t="s">
        <v>83</v>
      </c>
    </row>
    <row r="44" spans="1:17">
      <c r="A44" s="139" t="s">
        <v>84</v>
      </c>
    </row>
    <row r="45" spans="1:17">
      <c r="A45" s="139" t="s">
        <v>85</v>
      </c>
      <c r="B45" s="259" t="n"/>
    </row>
    <row r="46" spans="1:17">
      <c r="A46" s="161" t="s">
        <v>86</v>
      </c>
      <c r="B46" s="195" t="n"/>
      <c r="C46" s="196" t="n"/>
      <c r="D46" s="196" t="n"/>
      <c r="E46" s="159" t="n"/>
      <c r="F46" s="134" t="n"/>
      <c r="G46" s="134" t="n"/>
      <c r="H46" s="134" t="n"/>
      <c r="I46" s="134" t="n"/>
      <c r="J46" s="134" t="n"/>
      <c r="K46" s="134" t="n"/>
      <c r="L46" s="134" t="n"/>
      <c r="M46" s="134" t="n"/>
      <c r="N46" s="134" t="n"/>
    </row>
    <row r="47" spans="1:17">
      <c r="C47" s="134" t="n"/>
      <c r="D47" s="134" t="n"/>
      <c r="E47" s="159" t="n"/>
      <c r="F47" s="134" t="n"/>
      <c r="G47" s="134" t="n"/>
      <c r="H47" s="134" t="n"/>
      <c r="I47" s="134" t="n"/>
      <c r="J47" s="134" t="n"/>
      <c r="K47" s="134" t="n"/>
      <c r="L47" s="134" t="n"/>
      <c r="M47" s="134" t="n"/>
      <c r="N47" s="134" t="n"/>
      <c r="O47" s="134" t="n"/>
    </row>
    <row r="63" spans="1:17">
      <c r="C63" s="134" t="n"/>
      <c r="D63" s="134" t="n"/>
    </row>
  </sheetData>
  <pageMargins bottom="0.25" footer="0.5" header="0.5" left="0" right="0" top="0.5"/>
  <pageSetup orientation="landscape" scale="76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61"/>
  <sheetViews>
    <sheetView topLeftCell="A40" workbookViewId="0" zoomScale="130" zoomScaleNormal="130">
      <pane activePane="topRight" state="frozen" topLeftCell="B1" xSplit="1"/>
      <selection activeCell="A40" sqref="A40"/>
      <selection activeCell="J79" pane="topRight" sqref="J79"/>
    </sheetView>
  </sheetViews>
  <sheetFormatPr baseColWidth="8" defaultColWidth="9.140625" defaultRowHeight="12.75" outlineLevelCol="0"/>
  <cols>
    <col customWidth="1" max="1" min="1" style="142" width="20.85546875"/>
    <col customWidth="1" max="2" min="2" style="142" width="14.140625"/>
    <col customWidth="1" hidden="1" max="3" min="3" style="142" width="7.85546875"/>
    <col customWidth="1" hidden="1" max="4" min="4" style="142" width="10.85546875"/>
    <col customWidth="1" hidden="1" max="6" min="5" style="142" width="8.7109375"/>
    <col customWidth="1" hidden="1" max="7" min="7" style="142" width="9.42578125"/>
    <col customWidth="1" hidden="1" max="8" min="8" style="142" width="10"/>
    <col customWidth="1" hidden="1" max="9" min="9" style="142" width="9.42578125"/>
    <col customWidth="1" max="10" min="10" style="142" width="10.42578125"/>
    <col customWidth="1" hidden="1" max="11" min="11" style="142" width="11.140625"/>
    <col customWidth="1" hidden="1" max="12" min="12" style="142" width="10.42578125"/>
    <col customWidth="1" hidden="1" max="13" min="13" style="142" width="9.5703125"/>
    <col customWidth="1" hidden="1" max="14" min="14" style="142" width="9.5703125"/>
    <col customWidth="1" hidden="1" max="15" min="15" style="259" width="12.5703125"/>
    <col customWidth="1" hidden="1" max="16" min="16" style="259" width="10.140625"/>
    <col bestFit="1" customWidth="1" max="17" min="17" style="259" width="14"/>
    <col customWidth="1" max="16384" min="18" style="259" width="9.140625"/>
  </cols>
  <sheetData>
    <row customHeight="1" ht="15.75" r="1" s="3" spans="1:23">
      <c r="A1" s="47" t="s">
        <v>87</v>
      </c>
      <c r="B1" s="142" t="n"/>
      <c r="N1" s="258" t="n"/>
    </row>
    <row r="2" spans="1:23">
      <c r="N2" s="259" t="n"/>
      <c r="R2" s="259" t="n"/>
    </row>
    <row r="3" spans="1:23">
      <c r="A3" s="127" t="s">
        <v>88</v>
      </c>
      <c r="B3" s="127" t="s">
        <v>4</v>
      </c>
      <c r="C3" s="302">
        <f>'Utility Summary'!C3</f>
        <v/>
      </c>
      <c r="D3" s="302">
        <f>'Utility Summary'!D3</f>
        <v/>
      </c>
      <c r="E3" s="302">
        <f>'Utility Summary'!E3</f>
        <v/>
      </c>
      <c r="F3" s="302">
        <f>'Utility Summary'!F3</f>
        <v/>
      </c>
      <c r="G3" s="302">
        <f>'Utility Summary'!G3</f>
        <v/>
      </c>
      <c r="H3" s="302">
        <f>'Utility Summary'!H3</f>
        <v/>
      </c>
      <c r="I3" s="302">
        <f>'Utility Summary'!I3</f>
        <v/>
      </c>
      <c r="J3" s="302">
        <f>'Utility Summary'!J3</f>
        <v/>
      </c>
      <c r="K3" s="302">
        <f>'Utility Summary'!K3</f>
        <v/>
      </c>
      <c r="L3" s="302">
        <f>'Utility Summary'!L3</f>
        <v/>
      </c>
      <c r="M3" s="302">
        <f>'Utility Summary'!M3</f>
        <v/>
      </c>
      <c r="N3" s="302">
        <f>'Utility Summary'!N3</f>
        <v/>
      </c>
      <c r="O3" s="130" t="s">
        <v>1</v>
      </c>
      <c r="P3" s="131" t="s">
        <v>5</v>
      </c>
    </row>
    <row r="4" spans="1:23">
      <c r="A4" s="142" t="n"/>
      <c r="B4" s="274" t="s">
        <v>46</v>
      </c>
      <c r="C4" s="319" t="n">
        <v>42585</v>
      </c>
      <c r="D4" s="319">
        <f>[3]Electricity!D4</f>
        <v/>
      </c>
      <c r="E4" s="319">
        <f>[3]Electricity!E4</f>
        <v/>
      </c>
      <c r="F4" s="319" t="n">
        <v>42675</v>
      </c>
      <c r="G4" s="319">
        <f>[3]Electricity!G4</f>
        <v/>
      </c>
      <c r="H4" s="319">
        <f>[3]Electricity!H4</f>
        <v/>
      </c>
      <c r="I4" s="319">
        <f>[3]Electricity!I4</f>
        <v/>
      </c>
      <c r="J4" s="319">
        <f>[3]Electricity!J4</f>
        <v/>
      </c>
      <c r="K4" s="319">
        <f>[3]Electricity!K4</f>
        <v/>
      </c>
      <c r="L4" s="319">
        <f>[3]Electricity!L4</f>
        <v/>
      </c>
      <c r="M4" s="319">
        <f>[3]Electricity!M4</f>
        <v/>
      </c>
      <c r="N4" s="319" t="n">
        <v>42186</v>
      </c>
      <c r="O4" s="259" t="n"/>
      <c r="P4" s="189" t="n"/>
    </row>
    <row customFormat="1" customHeight="1" ht="25.5" r="5" s="261" spans="1:23">
      <c r="A5" s="82" t="n"/>
      <c r="B5" s="133" t="s">
        <v>89</v>
      </c>
      <c r="C5" s="334">
        <f>66973.17/(16089*748/1000)</f>
        <v/>
      </c>
      <c r="D5" s="334">
        <f>49796.32/(11950*748/1000)</f>
        <v/>
      </c>
      <c r="E5" s="334">
        <f>63844.07/(15335*748/1000)</f>
        <v/>
      </c>
      <c r="F5" s="334">
        <f>52265.57/(12545*748/1000)</f>
        <v/>
      </c>
      <c r="G5" s="334">
        <f>34179.87/(8187*748/1000)</f>
        <v/>
      </c>
      <c r="H5" s="334">
        <f>27909.22/(6676*748/1000)</f>
        <v/>
      </c>
      <c r="I5" s="334">
        <f>17291.41/(4097*748/1000)</f>
        <v/>
      </c>
      <c r="J5" s="334">
        <f>39963.7/(9534*748/1000)</f>
        <v/>
      </c>
      <c r="K5" s="334">
        <f> 26045.87/(6227*748/1000)</f>
        <v/>
      </c>
      <c r="L5" s="334">
        <f>27851.12/(6662*748/1000)</f>
        <v/>
      </c>
      <c r="M5" s="334">
        <f>48314.77/(11593*748/1000)</f>
        <v/>
      </c>
      <c r="N5" s="334">
        <f>32275.02/(7728*748/1000)</f>
        <v/>
      </c>
      <c r="O5" s="260" t="n"/>
      <c r="P5" s="133" t="n"/>
    </row>
    <row r="6" spans="1:23">
      <c r="A6" s="142" t="n"/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O6" s="259" t="n"/>
    </row>
    <row r="7" spans="1:23">
      <c r="A7" s="142" t="s">
        <v>90</v>
      </c>
      <c r="B7" s="274" t="s">
        <v>91</v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86" t="n"/>
    </row>
    <row r="8" spans="1:23">
      <c r="A8" s="142" t="s">
        <v>92</v>
      </c>
      <c r="B8" s="142" t="s">
        <v>93</v>
      </c>
      <c r="C8" s="86" t="n">
        <v>19280.48</v>
      </c>
      <c r="D8" s="86">
        <f>(198929+52250.93)/2</f>
        <v/>
      </c>
      <c r="E8" s="86" t="n">
        <v>128818.7</v>
      </c>
      <c r="F8" s="86" t="n">
        <v>136251.66</v>
      </c>
      <c r="G8" s="86" t="n">
        <v>120022.04</v>
      </c>
      <c r="H8" s="86" t="n">
        <v>80941.69999999995</v>
      </c>
      <c r="I8" s="86" t="n">
        <v>68325.41999999993</v>
      </c>
      <c r="J8" s="86" t="n">
        <v>125145.2100000001</v>
      </c>
      <c r="K8" s="86" t="n">
        <v>125658.6300000001</v>
      </c>
      <c r="L8" s="86" t="n">
        <v>124188.03</v>
      </c>
      <c r="M8" s="86" t="n">
        <v>65550.2099999995</v>
      </c>
      <c r="N8" s="86" t="n">
        <v>16820.02000000002</v>
      </c>
      <c r="O8" s="86">
        <f>SUM(C8:N8)</f>
        <v/>
      </c>
      <c r="U8" s="261" t="n"/>
      <c r="V8" s="261" t="n"/>
      <c r="W8" s="261" t="n"/>
    </row>
    <row r="9" spans="1:23">
      <c r="A9" s="142" t="n"/>
      <c r="B9" s="142" t="s">
        <v>50</v>
      </c>
      <c r="C9" s="296">
        <f>ROUND(C$5*C8/1000,2)</f>
        <v/>
      </c>
      <c r="D9" s="296">
        <f>ROUND(D$5*D8/1000,2)</f>
        <v/>
      </c>
      <c r="E9" s="296">
        <f>ROUND(E$5*E8/1000,2)</f>
        <v/>
      </c>
      <c r="F9" s="296">
        <f>ROUND(F$5*F8/1000,2)</f>
        <v/>
      </c>
      <c r="G9" s="296">
        <f>ROUND(G$5*G8/1000,2)</f>
        <v/>
      </c>
      <c r="H9" s="296">
        <f>ROUND(H$5*H8/1000,2)</f>
        <v/>
      </c>
      <c r="I9" s="296">
        <f>ROUND(I$5*I8/1000,2)</f>
        <v/>
      </c>
      <c r="J9" s="296">
        <f>ROUND(J$5*J8/1000,2)</f>
        <v/>
      </c>
      <c r="K9" s="296">
        <f>ROUND(K$5*K8/1000,2)</f>
        <v/>
      </c>
      <c r="L9" s="296">
        <f>ROUND(L$5*L8/1000,2)</f>
        <v/>
      </c>
      <c r="M9" s="296">
        <f>ROUND(M$5*M8/1000,2)</f>
        <v/>
      </c>
      <c r="N9" s="296">
        <f>ROUND(N$5*N8/1000,2)</f>
        <v/>
      </c>
      <c r="O9" s="296">
        <f>SUM(C9:N9)</f>
        <v/>
      </c>
    </row>
    <row r="10" spans="1:23">
      <c r="A10" s="142" t="n"/>
      <c r="B10" s="14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O10" s="259" t="n"/>
    </row>
    <row r="11" spans="1:23">
      <c r="A11" s="274" t="s">
        <v>12</v>
      </c>
      <c r="B11" s="274" t="s">
        <v>91</v>
      </c>
      <c r="C11" s="86" t="n"/>
      <c r="D11" s="86" t="n"/>
      <c r="E11" s="86" t="n"/>
      <c r="F11" s="86" t="n"/>
      <c r="G11" s="86" t="n"/>
      <c r="H11" s="86" t="n"/>
      <c r="I11" s="86" t="n"/>
      <c r="J11" s="86" t="n"/>
      <c r="K11" s="86" t="n"/>
      <c r="L11" s="86" t="n"/>
      <c r="M11" s="86" t="n"/>
      <c r="N11" s="86" t="n"/>
      <c r="O11" s="86" t="n"/>
      <c r="U11" s="261" t="n"/>
      <c r="V11" s="261" t="n"/>
      <c r="W11" s="261" t="n"/>
    </row>
    <row r="12" spans="1:23">
      <c r="A12" s="142" t="n"/>
      <c r="B12" s="142" t="s">
        <v>93</v>
      </c>
      <c r="C12" s="86" t="n">
        <v>748.27</v>
      </c>
      <c r="D12" s="86" t="n">
        <v>24565.24</v>
      </c>
      <c r="E12" s="86" t="n">
        <v>45217.6</v>
      </c>
      <c r="F12" s="86" t="n">
        <v>47405.99999999988</v>
      </c>
      <c r="G12" s="86" t="n">
        <v>40684.59999999998</v>
      </c>
      <c r="H12" s="86" t="n">
        <v>21687.70000000019</v>
      </c>
      <c r="I12" s="86" t="n">
        <v>21606.39999999967</v>
      </c>
      <c r="J12" s="86" t="n">
        <v>49200.70000000019</v>
      </c>
      <c r="K12" s="86" t="n">
        <v>44917.26</v>
      </c>
      <c r="L12" s="86" t="n">
        <v>53668.12</v>
      </c>
      <c r="M12" s="86" t="n">
        <v>22984.85999999999</v>
      </c>
      <c r="N12" s="86" t="n">
        <v>447.040000000037</v>
      </c>
      <c r="O12" s="86">
        <f>SUM(C12:N12)</f>
        <v/>
      </c>
    </row>
    <row r="13" spans="1:23">
      <c r="A13" s="142" t="n"/>
      <c r="B13" s="142" t="s">
        <v>50</v>
      </c>
      <c r="C13" s="296">
        <f>ROUND(C$5*C12/1000,2)</f>
        <v/>
      </c>
      <c r="D13" s="296">
        <f>ROUND(D$5*D12/1000,2)</f>
        <v/>
      </c>
      <c r="E13" s="296">
        <f>ROUND(E$5*E12/1000,2)</f>
        <v/>
      </c>
      <c r="F13" s="296">
        <f>ROUND(F$5*F12/1000,2)</f>
        <v/>
      </c>
      <c r="G13" s="296">
        <f>ROUND(G$5*G12/1000,2)</f>
        <v/>
      </c>
      <c r="H13" s="296">
        <f>ROUND(H$5*H12/1000,2)</f>
        <v/>
      </c>
      <c r="I13" s="296">
        <f>ROUND(I$5*I12/1000,2)</f>
        <v/>
      </c>
      <c r="J13" s="296">
        <f>ROUND(J$5*J12/1000,2)</f>
        <v/>
      </c>
      <c r="K13" s="296">
        <f>ROUND(K$5*K12/1000,2)</f>
        <v/>
      </c>
      <c r="L13" s="296">
        <f>ROUND(L$5*L12/1000,2)</f>
        <v/>
      </c>
      <c r="M13" s="296">
        <f>ROUND(M$5*M12/1000,2)</f>
        <v/>
      </c>
      <c r="N13" s="296">
        <f>ROUND(N$5*N12/1000,2)</f>
        <v/>
      </c>
      <c r="O13" s="296">
        <f>SUM(C13:N13)</f>
        <v/>
      </c>
    </row>
    <row r="14" spans="1:23">
      <c r="A14" s="142" t="n"/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O14" s="259" t="n"/>
      <c r="U14" s="261" t="n"/>
      <c r="V14" s="261" t="n"/>
      <c r="W14" s="261" t="n"/>
    </row>
    <row r="15" spans="1:23">
      <c r="A15" s="274" t="s">
        <v>13</v>
      </c>
      <c r="B15" s="274" t="s">
        <v>91</v>
      </c>
      <c r="C15" s="86" t="n"/>
      <c r="D15" s="86" t="n"/>
      <c r="E15" s="86" t="n"/>
      <c r="F15" s="86" t="n"/>
      <c r="G15" s="86" t="n"/>
      <c r="H15" s="86" t="n"/>
      <c r="I15" s="86" t="n"/>
      <c r="J15" s="86" t="n"/>
      <c r="K15" s="86" t="n"/>
      <c r="L15" s="86" t="n"/>
      <c r="M15" s="86" t="n"/>
      <c r="N15" s="86" t="n"/>
      <c r="O15" s="86" t="n"/>
    </row>
    <row r="16" spans="1:23">
      <c r="A16" s="142" t="n"/>
      <c r="B16" s="142" t="s">
        <v>93</v>
      </c>
      <c r="C16" s="86" t="n">
        <v>2787.89</v>
      </c>
      <c r="D16" s="86" t="n">
        <v>41491.35</v>
      </c>
      <c r="E16" s="86" t="n">
        <v>97868.08</v>
      </c>
      <c r="F16" s="86" t="n">
        <v>132806.2000000002</v>
      </c>
      <c r="G16" s="86" t="n">
        <v>56981.79999999981</v>
      </c>
      <c r="H16" s="86" t="n">
        <v>25891.69999999995</v>
      </c>
      <c r="I16" s="86" t="n">
        <v>38590.30000000028</v>
      </c>
      <c r="J16" s="86" t="n">
        <v>69161.09999999986</v>
      </c>
      <c r="K16" s="86" t="n">
        <v>40713.66</v>
      </c>
      <c r="L16" s="86" t="n">
        <v>58450.19</v>
      </c>
      <c r="M16" s="86" t="n">
        <v>21447.68000000005</v>
      </c>
      <c r="N16" s="86" t="n">
        <v>4301.739999999991</v>
      </c>
      <c r="O16" s="86">
        <f>SUM(C16:N16)</f>
        <v/>
      </c>
    </row>
    <row r="17" spans="1:23">
      <c r="A17" s="142" t="n"/>
      <c r="B17" s="142" t="s">
        <v>50</v>
      </c>
      <c r="C17" s="296">
        <f>ROUND(C$5*C16/1000,2)</f>
        <v/>
      </c>
      <c r="D17" s="296">
        <f>ROUND(D$5*D16/1000,2)</f>
        <v/>
      </c>
      <c r="E17" s="296">
        <f>ROUND(E$5*E16/1000,2)</f>
        <v/>
      </c>
      <c r="F17" s="296">
        <f>ROUND(F$5*F16/1000,2)</f>
        <v/>
      </c>
      <c r="G17" s="296">
        <f>ROUND(G$5*G16/1000,2)</f>
        <v/>
      </c>
      <c r="H17" s="296">
        <f>ROUND(H$5*H16/1000,2)</f>
        <v/>
      </c>
      <c r="I17" s="296">
        <f>ROUND(I$5*I16/1000,2)</f>
        <v/>
      </c>
      <c r="J17" s="296">
        <f>ROUND(J$5*J16/1000,2)</f>
        <v/>
      </c>
      <c r="K17" s="296">
        <f>ROUND(K$5*K16/1000,2)</f>
        <v/>
      </c>
      <c r="L17" s="296">
        <f>ROUND(L$5*L16/1000,2)</f>
        <v/>
      </c>
      <c r="M17" s="296">
        <f>ROUND(M$5*M16/1000,2)</f>
        <v/>
      </c>
      <c r="N17" s="296">
        <f>ROUND(N$5*N16/1000,2)</f>
        <v/>
      </c>
      <c r="O17" s="296">
        <f>SUM(C17:N17)</f>
        <v/>
      </c>
      <c r="U17" s="261" t="n"/>
      <c r="V17" s="261" t="n"/>
      <c r="W17" s="261" t="n"/>
    </row>
    <row r="18" spans="1:23">
      <c r="A18" s="142" t="n"/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O18" s="259" t="n"/>
    </row>
    <row r="19" spans="1:23">
      <c r="A19" s="142" t="s">
        <v>14</v>
      </c>
      <c r="B19" s="142" t="s">
        <v>93</v>
      </c>
      <c r="C19" s="86">
        <f>141724.42/4</f>
        <v/>
      </c>
      <c r="D19" s="86">
        <f>92688.2499999998/4</f>
        <v/>
      </c>
      <c r="E19" s="86">
        <f>225547.59/4</f>
        <v/>
      </c>
      <c r="F19" s="86">
        <f>244613.599999999/4</f>
        <v/>
      </c>
      <c r="G19" s="86">
        <f>217445.500000001/4</f>
        <v/>
      </c>
      <c r="H19" s="86">
        <f>128436/4</f>
        <v/>
      </c>
      <c r="I19" s="86">
        <f>129468.7/4</f>
        <v/>
      </c>
      <c r="J19" s="86">
        <f>234635.899999999/4</f>
        <v/>
      </c>
      <c r="K19" s="86">
        <f>188612.11/4</f>
        <v/>
      </c>
      <c r="L19" s="86">
        <f>196483.94/4</f>
        <v/>
      </c>
      <c r="M19" s="86">
        <f>112261.89/4</f>
        <v/>
      </c>
      <c r="N19" s="86">
        <f>34083.56/4</f>
        <v/>
      </c>
      <c r="O19" s="86">
        <f>SUM(C19:N19)</f>
        <v/>
      </c>
    </row>
    <row r="20" spans="1:23">
      <c r="A20" s="142" t="n"/>
      <c r="B20" s="142" t="s">
        <v>50</v>
      </c>
      <c r="C20" s="296">
        <f>ROUND(C$5*C19/1000,2)</f>
        <v/>
      </c>
      <c r="D20" s="296">
        <f>ROUND(D$5*D19/1000,2)</f>
        <v/>
      </c>
      <c r="E20" s="296">
        <f>ROUND(E$5*E19/1000,2)</f>
        <v/>
      </c>
      <c r="F20" s="296">
        <f>ROUND(F$5*F19/1000,2)</f>
        <v/>
      </c>
      <c r="G20" s="296">
        <f>ROUND(G$5*G19/1000,2)</f>
        <v/>
      </c>
      <c r="H20" s="296">
        <f>ROUND(H$5*H19/1000,2)</f>
        <v/>
      </c>
      <c r="I20" s="296">
        <f>ROUND(I$5*I19/1000,2)</f>
        <v/>
      </c>
      <c r="J20" s="296">
        <f>ROUND(J$5*J19/1000,2)</f>
        <v/>
      </c>
      <c r="K20" s="296">
        <f>ROUND(K$5*K19/1000,2)</f>
        <v/>
      </c>
      <c r="L20" s="296">
        <f>ROUND(L$5*L19/1000,2)</f>
        <v/>
      </c>
      <c r="M20" s="296">
        <f>ROUND(M$5*M19/1000,2)</f>
        <v/>
      </c>
      <c r="N20" s="296">
        <f>ROUND(N$5*N19/1000,2)</f>
        <v/>
      </c>
      <c r="O20" s="296">
        <f>SUM(C20:N20)</f>
        <v/>
      </c>
      <c r="U20" s="261" t="n"/>
      <c r="V20" s="261" t="n"/>
      <c r="W20" s="261" t="n"/>
    </row>
    <row r="21" spans="1:23">
      <c r="A21" s="142" t="n"/>
      <c r="B21" s="142" t="n"/>
      <c r="C21" s="296" t="n"/>
      <c r="D21" s="296" t="n"/>
      <c r="E21" s="296" t="n"/>
      <c r="F21" s="296" t="n"/>
      <c r="G21" s="296" t="n"/>
      <c r="H21" s="296" t="n"/>
      <c r="I21" s="296" t="n"/>
      <c r="J21" s="296" t="n"/>
      <c r="K21" s="296" t="n"/>
      <c r="L21" s="296" t="n"/>
      <c r="M21" s="296" t="n"/>
      <c r="N21" s="296" t="n"/>
      <c r="O21" s="296" t="n"/>
    </row>
    <row r="22" spans="1:23">
      <c r="B22" s="142" t="n"/>
      <c r="C22" s="142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O22" s="259" t="n"/>
    </row>
    <row r="23" spans="1:23">
      <c r="A23" s="142" t="s">
        <v>15</v>
      </c>
      <c r="B23" s="142" t="s">
        <v>93</v>
      </c>
      <c r="C23" s="86">
        <f>141724.42/4</f>
        <v/>
      </c>
      <c r="D23" s="86">
        <f>92688.2499999998/4</f>
        <v/>
      </c>
      <c r="E23" s="86">
        <f>225547.59/4</f>
        <v/>
      </c>
      <c r="F23" s="86">
        <f>244613.599999999/4</f>
        <v/>
      </c>
      <c r="G23" s="86">
        <f>217445.500000001/4</f>
        <v/>
      </c>
      <c r="H23" s="86">
        <f>128436/4</f>
        <v/>
      </c>
      <c r="I23" s="86">
        <f>129468.7/4</f>
        <v/>
      </c>
      <c r="J23" s="86">
        <f>234635.899999999/4</f>
        <v/>
      </c>
      <c r="K23" s="86">
        <f>188612.11/4</f>
        <v/>
      </c>
      <c r="L23" s="86">
        <f>196483.94/4</f>
        <v/>
      </c>
      <c r="M23" s="86">
        <f>M19</f>
        <v/>
      </c>
      <c r="N23" s="86">
        <f>34083.56/4</f>
        <v/>
      </c>
      <c r="O23" s="86">
        <f>SUM(C23:N23)</f>
        <v/>
      </c>
      <c r="U23" s="261" t="n"/>
      <c r="V23" s="261" t="n"/>
      <c r="W23" s="261" t="n"/>
    </row>
    <row r="24" spans="1:23">
      <c r="A24" s="142" t="n"/>
      <c r="B24" s="142" t="s">
        <v>50</v>
      </c>
      <c r="C24" s="296">
        <f>ROUND(C$5*C23/1000,2)</f>
        <v/>
      </c>
      <c r="D24" s="296">
        <f>ROUND(D$5*D23/1000,2)</f>
        <v/>
      </c>
      <c r="E24" s="296">
        <f>ROUND(E$5*E23/1000,2)</f>
        <v/>
      </c>
      <c r="F24" s="296">
        <f>ROUND(F$5*F23/1000,2)</f>
        <v/>
      </c>
      <c r="G24" s="296">
        <f>ROUND(G$5*G23/1000,2)</f>
        <v/>
      </c>
      <c r="H24" s="296">
        <f>ROUND(H$5*H23/1000,2)</f>
        <v/>
      </c>
      <c r="I24" s="296">
        <f>ROUND(I$5*I23/1000,2)</f>
        <v/>
      </c>
      <c r="J24" s="296">
        <f>ROUND(J$5*J23/1000,2)</f>
        <v/>
      </c>
      <c r="K24" s="296">
        <f>ROUND(K$5*K23/1000,2)</f>
        <v/>
      </c>
      <c r="L24" s="296">
        <f>ROUND(L$5*L23/1000,2)</f>
        <v/>
      </c>
      <c r="M24" s="296">
        <f>ROUND(M$5*M23/1000,2)</f>
        <v/>
      </c>
      <c r="N24" s="296">
        <f>ROUND(N$5*N23/1000,2)</f>
        <v/>
      </c>
      <c r="O24" s="296">
        <f>SUM(C24:N24)</f>
        <v/>
      </c>
    </row>
    <row r="25" spans="1:23">
      <c r="A25" s="142" t="n"/>
      <c r="B25" s="142" t="n"/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296" t="n"/>
      <c r="M25" s="296" t="n"/>
      <c r="N25" s="296" t="n"/>
      <c r="O25" s="296" t="n"/>
    </row>
    <row r="26" spans="1:23">
      <c r="A26" s="142" t="n"/>
      <c r="B26" s="142" t="n"/>
      <c r="C26" s="142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O26" s="259" t="n"/>
      <c r="U26" s="261" t="n"/>
      <c r="V26" s="261" t="n"/>
      <c r="W26" s="261" t="n"/>
    </row>
    <row r="27" spans="1:23">
      <c r="A27" s="142" t="s">
        <v>17</v>
      </c>
      <c r="B27" s="142" t="s">
        <v>93</v>
      </c>
      <c r="C27" s="86">
        <f>141724.42/4</f>
        <v/>
      </c>
      <c r="D27" s="86">
        <f>92688.2499999998/4</f>
        <v/>
      </c>
      <c r="E27" s="86">
        <f>225547.59/4</f>
        <v/>
      </c>
      <c r="F27" s="86">
        <f>244613.599999999/4</f>
        <v/>
      </c>
      <c r="G27" s="86">
        <f>217445.500000001/4</f>
        <v/>
      </c>
      <c r="H27" s="86">
        <f>128436/4</f>
        <v/>
      </c>
      <c r="I27" s="86">
        <f>129468.7/4</f>
        <v/>
      </c>
      <c r="J27" s="86">
        <f>234635.899999999/4</f>
        <v/>
      </c>
      <c r="K27" s="86">
        <f>188612.11/4</f>
        <v/>
      </c>
      <c r="L27" s="86">
        <f>196483.94/4</f>
        <v/>
      </c>
      <c r="M27" s="86">
        <f>M19</f>
        <v/>
      </c>
      <c r="N27" s="86">
        <f>34083.56/4</f>
        <v/>
      </c>
      <c r="O27" s="86">
        <f>SUM(C27:N27)</f>
        <v/>
      </c>
      <c r="P27" s="86" t="n"/>
      <c r="Q27" s="86" t="n"/>
    </row>
    <row r="28" spans="1:23">
      <c r="A28" s="142" t="n"/>
      <c r="B28" s="142" t="s">
        <v>50</v>
      </c>
      <c r="C28" s="296">
        <f>ROUND(C$5*C27/1000,2)</f>
        <v/>
      </c>
      <c r="D28" s="296">
        <f>ROUND(D$5*D27/1000,2)</f>
        <v/>
      </c>
      <c r="E28" s="296">
        <f>ROUND(E$5*E27/1000,2)</f>
        <v/>
      </c>
      <c r="F28" s="296">
        <f>ROUND(F$5*F27/1000,2)</f>
        <v/>
      </c>
      <c r="G28" s="296">
        <f>ROUND(G$5*G27/1000,2)</f>
        <v/>
      </c>
      <c r="H28" s="296">
        <f>ROUND(H$5*H27/1000,2)</f>
        <v/>
      </c>
      <c r="I28" s="296">
        <f>ROUND(I$5*I27/1000,2)</f>
        <v/>
      </c>
      <c r="J28" s="296">
        <f>ROUND(J$5*J27/1000,2)</f>
        <v/>
      </c>
      <c r="K28" s="296">
        <f>ROUND(K$5*K27/1000,2)</f>
        <v/>
      </c>
      <c r="L28" s="296">
        <f>ROUND(L$5*L27/1000,2)</f>
        <v/>
      </c>
      <c r="M28" s="296">
        <f>ROUND(M$5*M27/1000,2)</f>
        <v/>
      </c>
      <c r="N28" s="296">
        <f>ROUND(N$5*N27/1000,2)</f>
        <v/>
      </c>
      <c r="O28" s="296">
        <f>SUM(C28:N28)</f>
        <v/>
      </c>
    </row>
    <row r="29" spans="1:23">
      <c r="A29" s="142" t="n"/>
      <c r="B29" s="142" t="n"/>
      <c r="C29" s="296" t="n"/>
      <c r="D29" s="296" t="n"/>
      <c r="E29" s="296" t="n"/>
      <c r="F29" s="296" t="n"/>
      <c r="G29" s="296" t="n"/>
      <c r="H29" s="296" t="n"/>
      <c r="I29" s="296" t="n"/>
      <c r="J29" s="296" t="n"/>
      <c r="K29" s="296" t="n"/>
      <c r="L29" s="296" t="n"/>
      <c r="M29" s="296" t="n"/>
      <c r="N29" s="296" t="n"/>
      <c r="O29" s="296" t="n"/>
      <c r="U29" s="261" t="n"/>
      <c r="V29" s="261" t="n"/>
      <c r="W29" s="261" t="n"/>
    </row>
    <row r="30" spans="1:23">
      <c r="A30" s="142" t="n"/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O30" s="259" t="n"/>
    </row>
    <row r="31" spans="1:23">
      <c r="A31" s="142" t="s">
        <v>94</v>
      </c>
      <c r="B31" s="142" t="s">
        <v>93</v>
      </c>
      <c r="C31" s="86">
        <f>141724.42/4</f>
        <v/>
      </c>
      <c r="D31" s="86">
        <f>92688.2499999998/4</f>
        <v/>
      </c>
      <c r="E31" s="86">
        <f>225547.59/4</f>
        <v/>
      </c>
      <c r="F31" s="86">
        <f>244613.599999999/4</f>
        <v/>
      </c>
      <c r="G31" s="86">
        <f>217445.500000001/4</f>
        <v/>
      </c>
      <c r="H31" s="86">
        <f>128436/4</f>
        <v/>
      </c>
      <c r="I31" s="86">
        <f>129468.7/4</f>
        <v/>
      </c>
      <c r="J31" s="86">
        <f>234635.899999999/4</f>
        <v/>
      </c>
      <c r="K31" s="86">
        <f>188612.11/4</f>
        <v/>
      </c>
      <c r="L31" s="86">
        <f>196483.94/4</f>
        <v/>
      </c>
      <c r="M31" s="86">
        <f>M19</f>
        <v/>
      </c>
      <c r="N31" s="86">
        <f>34083.56/4</f>
        <v/>
      </c>
      <c r="O31" s="86">
        <f>SUM(C31:N31)</f>
        <v/>
      </c>
    </row>
    <row r="32" spans="1:23">
      <c r="A32" s="142" t="n"/>
      <c r="B32" s="142" t="s">
        <v>50</v>
      </c>
      <c r="C32" s="296">
        <f>ROUND(C$5*C31/1000,2)</f>
        <v/>
      </c>
      <c r="D32" s="296">
        <f>ROUND(D$5*D31/1000,2)</f>
        <v/>
      </c>
      <c r="E32" s="296">
        <f>ROUND(E$5*E31/1000,2)</f>
        <v/>
      </c>
      <c r="F32" s="296">
        <f>ROUND(F$5*F31/1000,2)</f>
        <v/>
      </c>
      <c r="G32" s="296">
        <f>ROUND(G$5*G31/1000,2)</f>
        <v/>
      </c>
      <c r="H32" s="296">
        <f>ROUND(H$5*H31/1000,2)</f>
        <v/>
      </c>
      <c r="I32" s="296">
        <f>ROUND(I$5*I31/1000,2)</f>
        <v/>
      </c>
      <c r="J32" s="296">
        <f>ROUND(J$5*J31/1000,2)</f>
        <v/>
      </c>
      <c r="K32" s="296">
        <f>ROUND(K$5*K31/1000,2)</f>
        <v/>
      </c>
      <c r="L32" s="296">
        <f>ROUND(L$5*L31/1000,2)</f>
        <v/>
      </c>
      <c r="M32" s="296">
        <f>ROUND(M$5*M31/1000,2)</f>
        <v/>
      </c>
      <c r="N32" s="296">
        <f>ROUND(N$5*N31/1000,2)</f>
        <v/>
      </c>
      <c r="O32" s="296">
        <f>SUM(C32:N32)</f>
        <v/>
      </c>
      <c r="U32" s="261" t="n"/>
      <c r="V32" s="261" t="n"/>
      <c r="W32" s="261" t="n"/>
    </row>
    <row r="33" spans="1:23">
      <c r="A33" s="142" t="n"/>
      <c r="B33" s="142" t="n"/>
      <c r="C33" s="296" t="n"/>
      <c r="D33" s="296" t="n"/>
      <c r="E33" s="296" t="n"/>
      <c r="F33" s="296" t="n"/>
      <c r="G33" s="296" t="n"/>
      <c r="H33" s="296" t="n"/>
      <c r="I33" s="296" t="n"/>
      <c r="J33" s="296" t="n"/>
      <c r="K33" s="296" t="n"/>
      <c r="L33" s="296" t="n"/>
      <c r="M33" s="296" t="n"/>
      <c r="N33" s="296" t="n"/>
      <c r="O33" s="296" t="n"/>
    </row>
    <row r="34" spans="1:23">
      <c r="A34" s="142" t="n"/>
      <c r="B34" s="142" t="n"/>
      <c r="C34" s="142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O34" s="259" t="n"/>
    </row>
    <row r="35" spans="1:23">
      <c r="A35" s="142" t="s">
        <v>95</v>
      </c>
      <c r="B35" s="142" t="s">
        <v>93</v>
      </c>
      <c r="C35" s="86" t="n">
        <v>10479.84</v>
      </c>
      <c r="D35" s="86" t="n">
        <v>20355.79000000004</v>
      </c>
      <c r="E35" s="86" t="n">
        <v>34340.21000000008</v>
      </c>
      <c r="F35" s="86" t="n">
        <v>34156.69999999984</v>
      </c>
      <c r="G35" s="86" t="n">
        <v>30309.10000000009</v>
      </c>
      <c r="H35" s="86" t="n">
        <v>16114.59999999998</v>
      </c>
      <c r="I35" s="86" t="n">
        <v>15897.29999999993</v>
      </c>
      <c r="J35" s="86" t="n">
        <v>32293.30000000016</v>
      </c>
      <c r="K35" s="86" t="n">
        <v>27989.89</v>
      </c>
      <c r="L35" s="86" t="n">
        <v>29975.68000000005</v>
      </c>
      <c r="M35" s="86" t="n">
        <v>13866.39999999997</v>
      </c>
      <c r="N35" s="86" t="n">
        <v>1440.660000000033</v>
      </c>
      <c r="O35" s="86">
        <f>SUM(C35:N35)</f>
        <v/>
      </c>
    </row>
    <row r="36" spans="1:23">
      <c r="B36" s="142" t="s">
        <v>50</v>
      </c>
      <c r="C36" s="296">
        <f>ROUND(C$5*C35/1000,2)</f>
        <v/>
      </c>
      <c r="D36" s="296">
        <f>ROUND(D$5*D35/1000,2)</f>
        <v/>
      </c>
      <c r="E36" s="296">
        <f>ROUND(E$5*E35/1000,2)</f>
        <v/>
      </c>
      <c r="F36" s="296">
        <f>ROUND(F$5*F35/1000,2)</f>
        <v/>
      </c>
      <c r="G36" s="296">
        <f>ROUND(G$5*G35/1000,2)</f>
        <v/>
      </c>
      <c r="H36" s="296">
        <f>ROUND(H$5*H35/1000,2)</f>
        <v/>
      </c>
      <c r="I36" s="296">
        <f>ROUND(I$5*I35/1000,2)</f>
        <v/>
      </c>
      <c r="J36" s="296">
        <f>ROUND(J$5*J35/1000,2)</f>
        <v/>
      </c>
      <c r="K36" s="296">
        <f>ROUND(K$5*K35/1000,2)</f>
        <v/>
      </c>
      <c r="L36" s="296">
        <f>ROUND(L$5*L35/1000,2)</f>
        <v/>
      </c>
      <c r="M36" s="296">
        <f>ROUND(M$5*M35/1000,2)</f>
        <v/>
      </c>
      <c r="N36" s="296">
        <f>ROUND(N$5*N35/1000,2)</f>
        <v/>
      </c>
      <c r="O36" s="296">
        <f>SUM(C36:N36)</f>
        <v/>
      </c>
    </row>
    <row r="37" spans="1:23">
      <c r="A37" s="142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O37" s="259" t="n"/>
      <c r="U37" s="261" t="n"/>
      <c r="V37" s="261" t="n"/>
      <c r="W37" s="261" t="n"/>
    </row>
    <row customHeight="1" ht="15" r="38" s="3" spans="1:23">
      <c r="A38" s="142" t="s">
        <v>21</v>
      </c>
      <c r="B38" s="142" t="s">
        <v>93</v>
      </c>
      <c r="C38" s="86">
        <f>7114.4/2</f>
        <v/>
      </c>
      <c r="D38" s="86">
        <f>56409.77/2</f>
        <v/>
      </c>
      <c r="E38" s="86">
        <f>134734.23/2</f>
        <v/>
      </c>
      <c r="F38" s="86">
        <f>108395.2/2</f>
        <v/>
      </c>
      <c r="G38" s="86">
        <f>92502.9/2</f>
        <v/>
      </c>
      <c r="H38" s="86">
        <f>50779.1/2</f>
        <v/>
      </c>
      <c r="I38" s="86">
        <f>50948.8999999999/2</f>
        <v/>
      </c>
      <c r="J38" s="86">
        <f>102823.2/2</f>
        <v/>
      </c>
      <c r="K38" s="86">
        <f>126992.61/2</f>
        <v/>
      </c>
      <c r="L38" s="86">
        <f>128950.36/2</f>
        <v/>
      </c>
      <c r="M38" s="86">
        <f>74071.7999999998/2</f>
        <v/>
      </c>
      <c r="N38" s="86">
        <f>46525.4800000004/2</f>
        <v/>
      </c>
      <c r="O38" s="86">
        <f>SUM(C38:N38)</f>
        <v/>
      </c>
      <c r="Q38" s="271" t="n"/>
    </row>
    <row r="39" spans="1:23">
      <c r="A39" s="142" t="n"/>
      <c r="B39" s="142" t="s">
        <v>50</v>
      </c>
      <c r="C39" s="296">
        <f>ROUND(C$5*C38/1000,2)</f>
        <v/>
      </c>
      <c r="D39" s="296">
        <f>ROUND(D$5*D38/1000,2)</f>
        <v/>
      </c>
      <c r="E39" s="296">
        <f>ROUND(E$5*E38/1000,2)</f>
        <v/>
      </c>
      <c r="F39" s="296">
        <f>ROUND(F$5*F38/1000,2)</f>
        <v/>
      </c>
      <c r="G39" s="296">
        <f>ROUND(G$5*G38/1000,2)</f>
        <v/>
      </c>
      <c r="H39" s="296">
        <f>ROUND(H$5*H38/1000,2)</f>
        <v/>
      </c>
      <c r="I39" s="296">
        <f>ROUND(I$5*I38/1000,2)</f>
        <v/>
      </c>
      <c r="J39" s="296">
        <f>ROUND(J$5*J38/1000,2)</f>
        <v/>
      </c>
      <c r="K39" s="296">
        <f>ROUND(K$5*K38/1000,2)</f>
        <v/>
      </c>
      <c r="L39" s="296">
        <f>ROUND(L$5*L38/1000,2)</f>
        <v/>
      </c>
      <c r="M39" s="296">
        <f>ROUND(M$5*M38/1000,2)</f>
        <v/>
      </c>
      <c r="N39" s="296">
        <f>ROUND(N$5*N38/1000,2)</f>
        <v/>
      </c>
      <c r="O39" s="296">
        <f>SUM(C39:N39)</f>
        <v/>
      </c>
    </row>
    <row r="40" spans="1:23">
      <c r="A40" s="142" t="n"/>
      <c r="B40" s="142" t="n"/>
      <c r="C40" s="296" t="n"/>
      <c r="D40" s="296" t="n"/>
      <c r="E40" s="296" t="n"/>
      <c r="F40" s="296" t="n"/>
      <c r="G40" s="296" t="n"/>
      <c r="H40" s="296" t="n"/>
      <c r="I40" s="296" t="n"/>
      <c r="J40" s="296" t="n"/>
      <c r="K40" s="296" t="n"/>
      <c r="L40" s="296" t="n"/>
      <c r="M40" s="296" t="n"/>
      <c r="N40" s="296" t="n"/>
      <c r="O40" s="296" t="n"/>
    </row>
    <row r="41" spans="1:23">
      <c r="A41" s="142" t="s">
        <v>96</v>
      </c>
      <c r="B41" s="142" t="s">
        <v>93</v>
      </c>
      <c r="C41" s="86">
        <f>7114.4/2</f>
        <v/>
      </c>
      <c r="D41" s="86">
        <f>56409.77/2</f>
        <v/>
      </c>
      <c r="E41" s="86">
        <f>134734.23/2</f>
        <v/>
      </c>
      <c r="F41" s="86">
        <f>108395.2/2</f>
        <v/>
      </c>
      <c r="G41" s="86">
        <f>92502.9/2</f>
        <v/>
      </c>
      <c r="H41" s="86">
        <f>50779.1/2</f>
        <v/>
      </c>
      <c r="I41" s="86">
        <f>50948.8999999999/2</f>
        <v/>
      </c>
      <c r="J41" s="86">
        <f>102823.2/2</f>
        <v/>
      </c>
      <c r="K41" s="86">
        <f>126992.61/2</f>
        <v/>
      </c>
      <c r="L41" s="86">
        <f>128950.36/2</f>
        <v/>
      </c>
      <c r="M41" s="86">
        <f>M38</f>
        <v/>
      </c>
      <c r="N41" s="86">
        <f>46525.4800000004/2</f>
        <v/>
      </c>
      <c r="O41" s="86">
        <f>SUM(C41:N41)</f>
        <v/>
      </c>
    </row>
    <row r="42" spans="1:23">
      <c r="A42" s="142" t="n"/>
      <c r="B42" s="142" t="s">
        <v>50</v>
      </c>
      <c r="C42" s="296">
        <f>ROUND(C$5*C41/1000,2)</f>
        <v/>
      </c>
      <c r="D42" s="296">
        <f>ROUND(D$5*D41/1000,2)</f>
        <v/>
      </c>
      <c r="E42" s="296">
        <f>ROUND(E$5*E41/1000,2)</f>
        <v/>
      </c>
      <c r="F42" s="296">
        <f>ROUND(F$5*F41/1000,2)</f>
        <v/>
      </c>
      <c r="G42" s="296">
        <f>ROUND(G$5*G41/1000,2)</f>
        <v/>
      </c>
      <c r="H42" s="296">
        <f>ROUND(H$5*H41/1000,2)</f>
        <v/>
      </c>
      <c r="I42" s="296">
        <f>ROUND(I$5*I41/1000,2)</f>
        <v/>
      </c>
      <c r="J42" s="296">
        <f>ROUND(J$5*J41/1000,2)</f>
        <v/>
      </c>
      <c r="K42" s="296">
        <f>ROUND(K$5*K41/1000,2)</f>
        <v/>
      </c>
      <c r="L42" s="296">
        <f>ROUND(L$5*L41/1000,2)</f>
        <v/>
      </c>
      <c r="M42" s="296">
        <f>ROUND(M$5*M41/1000,2)</f>
        <v/>
      </c>
      <c r="N42" s="296">
        <f>ROUND(N$5*N41/1000,2)</f>
        <v/>
      </c>
      <c r="O42" s="296">
        <f>SUM(C42:N42)</f>
        <v/>
      </c>
    </row>
    <row r="43" spans="1:23">
      <c r="A43" s="142" t="n"/>
      <c r="B43" s="142" t="n"/>
      <c r="C43" s="296" t="n"/>
      <c r="D43" s="296" t="n"/>
      <c r="E43" s="296" t="n"/>
      <c r="F43" s="296" t="n"/>
      <c r="G43" s="296" t="n"/>
      <c r="H43" s="296" t="n"/>
      <c r="I43" s="296" t="n"/>
      <c r="J43" s="296" t="n"/>
      <c r="K43" s="296" t="n"/>
      <c r="L43" s="296" t="n"/>
      <c r="M43" s="296" t="n"/>
      <c r="N43" s="296" t="n"/>
      <c r="O43" s="296" t="n"/>
    </row>
    <row r="44" spans="1:23">
      <c r="A44" s="142" t="s">
        <v>53</v>
      </c>
      <c r="B44" s="142" t="s">
        <v>93</v>
      </c>
      <c r="C44" s="86" t="n">
        <v>205546.45</v>
      </c>
      <c r="D44" s="86" t="n">
        <v>217952.97</v>
      </c>
      <c r="E44" s="86" t="n">
        <v>607532.4700000001</v>
      </c>
      <c r="F44" s="86" t="n">
        <v>690386.6499999999</v>
      </c>
      <c r="G44" s="86" t="n">
        <v>647118.3999999999</v>
      </c>
      <c r="H44" s="86" t="n">
        <v>574393.25</v>
      </c>
      <c r="I44" s="86" t="n">
        <v>547749.1699999999</v>
      </c>
      <c r="J44" s="86" t="n">
        <v>949181.0800000001</v>
      </c>
      <c r="K44" s="86" t="n">
        <v>658290.3</v>
      </c>
      <c r="L44" s="86" t="n">
        <v>653133.5499999989</v>
      </c>
      <c r="M44" s="86" t="n">
        <v>415842.8600000013</v>
      </c>
      <c r="N44" s="86" t="n">
        <v>142726.1599999983</v>
      </c>
      <c r="O44" s="86">
        <f>SUM(C44:N44)</f>
        <v/>
      </c>
      <c r="U44" s="335" t="n"/>
    </row>
    <row r="45" spans="1:23">
      <c r="A45" s="142" t="s">
        <v>97</v>
      </c>
      <c r="B45" s="142" t="s">
        <v>50</v>
      </c>
      <c r="C45" s="296">
        <f>ROUND(C$5*C44/1000,2)</f>
        <v/>
      </c>
      <c r="D45" s="296">
        <f>ROUND(D$5*D44/1000,2)</f>
        <v/>
      </c>
      <c r="E45" s="296">
        <f>ROUND(E$5*E44/1000,2)</f>
        <v/>
      </c>
      <c r="F45" s="296">
        <f>ROUND(F$5*F44/1000,2)</f>
        <v/>
      </c>
      <c r="G45" s="296">
        <f>ROUND(G$5*G44/1000,2)</f>
        <v/>
      </c>
      <c r="H45" s="296">
        <f>ROUND(H$5*H44/1000,2)</f>
        <v/>
      </c>
      <c r="I45" s="296">
        <f>ROUND(I$5*I44/1000,2)</f>
        <v/>
      </c>
      <c r="J45" s="296">
        <f>ROUND(J$5*J44/1000,2)</f>
        <v/>
      </c>
      <c r="K45" s="296">
        <f>ROUND(K$5*K44/1000,2)</f>
        <v/>
      </c>
      <c r="L45" s="296">
        <f>ROUND(L$5*L44/1000,2)</f>
        <v/>
      </c>
      <c r="M45" s="296">
        <f>ROUND(M$5*M44/1000,2)</f>
        <v/>
      </c>
      <c r="N45" s="296">
        <f>ROUND(N$5*N44/1000,2)</f>
        <v/>
      </c>
      <c r="O45" s="296">
        <f>SUM(C45:N45)</f>
        <v/>
      </c>
      <c r="T45" s="336" t="n"/>
      <c r="U45" s="335" t="n"/>
    </row>
    <row r="46" spans="1:23">
      <c r="A46" s="142" t="n"/>
      <c r="B46" s="142" t="n"/>
      <c r="C46" s="296" t="n"/>
      <c r="D46" s="296" t="n"/>
      <c r="E46" s="296" t="n"/>
      <c r="F46" s="296" t="n"/>
      <c r="G46" s="296" t="n"/>
      <c r="H46" s="296" t="n"/>
      <c r="I46" s="296" t="n"/>
      <c r="J46" s="296" t="n"/>
      <c r="K46" s="296" t="n"/>
      <c r="L46" s="296" t="n"/>
      <c r="M46" s="296" t="n"/>
      <c r="N46" s="296" t="n"/>
      <c r="O46" s="296" t="n"/>
      <c r="T46" s="336" t="n"/>
      <c r="U46" s="335" t="n"/>
    </row>
    <row customFormat="1" customHeight="1" ht="11.25" r="47" s="142" spans="1:23">
      <c r="A47" s="142" t="s">
        <v>25</v>
      </c>
      <c r="B47" s="142" t="s">
        <v>93</v>
      </c>
      <c r="C47" s="86" t="n">
        <v>59171.68</v>
      </c>
      <c r="D47" s="86" t="n">
        <v>116096.3299999996</v>
      </c>
      <c r="E47" s="86" t="n">
        <v>144017.4500000002</v>
      </c>
      <c r="F47" s="86" t="n">
        <v>153851</v>
      </c>
      <c r="G47" s="86" t="n">
        <v>134929.8999999994</v>
      </c>
      <c r="H47" s="86" t="n">
        <v>84722.90000000037</v>
      </c>
      <c r="I47" s="86" t="n">
        <v>93125</v>
      </c>
      <c r="J47" s="86" t="n">
        <v>180027.8999999994</v>
      </c>
      <c r="K47" s="86" t="n">
        <v>117082.23</v>
      </c>
      <c r="L47" s="86" t="n">
        <v>310427.3499999996</v>
      </c>
      <c r="M47" s="86" t="n">
        <v>111035.29</v>
      </c>
      <c r="N47" s="86" t="n">
        <v>58270.56999999983</v>
      </c>
      <c r="O47" s="86">
        <f>SUM(C47:N47)</f>
        <v/>
      </c>
    </row>
    <row customFormat="1" customHeight="1" ht="11.25" r="48" s="142" spans="1:23">
      <c r="A48" s="142" t="s">
        <v>26</v>
      </c>
      <c r="B48" s="142" t="s">
        <v>50</v>
      </c>
      <c r="C48" s="296">
        <f>ROUND(C$5*C47/1000,2)</f>
        <v/>
      </c>
      <c r="D48" s="296">
        <f>ROUND(D$5*D47/1000,2)</f>
        <v/>
      </c>
      <c r="E48" s="296">
        <f>ROUND(E$5*E47/1000,2)</f>
        <v/>
      </c>
      <c r="F48" s="296">
        <f>ROUND(F$5*F47/1000,2)</f>
        <v/>
      </c>
      <c r="G48" s="296">
        <f>ROUND(G$5*G47/1000,2)</f>
        <v/>
      </c>
      <c r="H48" s="296">
        <f>ROUND(H$5*H47/1000,2)</f>
        <v/>
      </c>
      <c r="I48" s="296">
        <f>ROUND(I$5*I47/1000,2)</f>
        <v/>
      </c>
      <c r="J48" s="296">
        <f>ROUND(J$5*J47/1000,2)</f>
        <v/>
      </c>
      <c r="K48" s="296">
        <f>ROUND(K$5*K47/1000,2)</f>
        <v/>
      </c>
      <c r="L48" s="296">
        <f>ROUND(L$5*L47/1000,2)</f>
        <v/>
      </c>
      <c r="M48" s="296">
        <f>ROUND(M$5*M47/1000,2)</f>
        <v/>
      </c>
      <c r="N48" s="296">
        <f>ROUND(N$5*N47/1000,2)</f>
        <v/>
      </c>
      <c r="O48" s="296">
        <f>SUM(C48:N48)</f>
        <v/>
      </c>
    </row>
    <row customFormat="1" customHeight="1" ht="11.25" r="49" s="142" spans="1:23">
      <c r="A49" s="142" t="n"/>
      <c r="B49" s="142" t="n"/>
      <c r="C49" s="296" t="n"/>
      <c r="D49" s="296" t="n"/>
      <c r="E49" s="296" t="n"/>
      <c r="F49" s="296" t="n"/>
      <c r="G49" s="296" t="n"/>
      <c r="H49" s="296" t="n"/>
      <c r="I49" s="296" t="n"/>
      <c r="J49" s="296" t="n"/>
      <c r="K49" s="296" t="n"/>
      <c r="L49" s="296" t="n"/>
      <c r="M49" s="296" t="n"/>
      <c r="N49" s="296" t="n"/>
      <c r="O49" s="296" t="n"/>
    </row>
    <row customFormat="1" customHeight="1" ht="11.25" r="50" s="142" spans="1:23">
      <c r="A50" s="142" t="s">
        <v>27</v>
      </c>
      <c r="B50" s="142" t="s">
        <v>93</v>
      </c>
      <c r="C50" s="86" t="n">
        <v>28236.06</v>
      </c>
      <c r="D50" s="86" t="n">
        <v>127461.27</v>
      </c>
      <c r="E50" s="86" t="n">
        <v>217219.9399999999</v>
      </c>
      <c r="F50" s="86" t="n">
        <v>237940.5999999996</v>
      </c>
      <c r="G50" s="86" t="n">
        <v>237849.1000000006</v>
      </c>
      <c r="H50" s="86" t="n">
        <v>138879.3999999994</v>
      </c>
      <c r="I50" s="86" t="n">
        <v>131226.000000001</v>
      </c>
      <c r="J50" s="86" t="n">
        <v>244658.1999999993</v>
      </c>
      <c r="K50" s="86" t="n">
        <v>149069.7</v>
      </c>
      <c r="L50" s="86" t="n">
        <v>370999.86</v>
      </c>
      <c r="M50" s="86" t="n">
        <v>92900.58999999985</v>
      </c>
      <c r="N50" s="86" t="n">
        <v>22099.82100000046</v>
      </c>
      <c r="O50" s="86">
        <f>SUM(C50:N50)</f>
        <v/>
      </c>
      <c r="Q50" s="86" t="n"/>
    </row>
    <row customFormat="1" customHeight="1" ht="11.25" r="51" s="142" spans="1:23">
      <c r="A51" s="142" t="s">
        <v>28</v>
      </c>
      <c r="B51" s="142" t="s">
        <v>50</v>
      </c>
      <c r="C51" s="296">
        <f>ROUND(C$5*C50/1000,2)</f>
        <v/>
      </c>
      <c r="D51" s="296">
        <f>ROUND(D$5*D50/1000,2)</f>
        <v/>
      </c>
      <c r="E51" s="296">
        <f>ROUND(E$5*E50/1000,2)</f>
        <v/>
      </c>
      <c r="F51" s="296">
        <f>ROUND(F$5*F50/1000,2)</f>
        <v/>
      </c>
      <c r="G51" s="296">
        <f>ROUND(G$5*G50/1000,2)</f>
        <v/>
      </c>
      <c r="H51" s="296">
        <f>ROUND(H$5*H50/1000,2)</f>
        <v/>
      </c>
      <c r="I51" s="296">
        <f>ROUND(I$5*I50/1000,2)</f>
        <v/>
      </c>
      <c r="J51" s="296">
        <f>ROUND(J$5*J50/1000,2)</f>
        <v/>
      </c>
      <c r="K51" s="296">
        <f>ROUND(K$5*K50/1000,2)</f>
        <v/>
      </c>
      <c r="L51" s="296">
        <f>ROUND(L$5*L50/1000,2)</f>
        <v/>
      </c>
      <c r="M51" s="296">
        <f>ROUND(M$5*M50/1000,2)</f>
        <v/>
      </c>
      <c r="N51" s="296">
        <f>ROUND(N$5*N50/1000,2)</f>
        <v/>
      </c>
      <c r="O51" s="296">
        <f>SUM(C51:N51)</f>
        <v/>
      </c>
    </row>
    <row customFormat="1" customHeight="1" ht="11.25" r="52" s="142" spans="1:23">
      <c r="A52" s="142" t="n"/>
      <c r="B52" s="142" t="n"/>
      <c r="C52" s="296" t="n"/>
      <c r="D52" s="296" t="n"/>
      <c r="E52" s="296" t="n"/>
      <c r="F52" s="296" t="n"/>
      <c r="G52" s="296" t="n"/>
      <c r="H52" s="296" t="n"/>
      <c r="I52" s="296" t="n"/>
      <c r="J52" s="296" t="n"/>
      <c r="K52" s="296" t="n"/>
      <c r="L52" s="296" t="n"/>
      <c r="M52" s="296" t="n"/>
      <c r="N52" s="296" t="n"/>
      <c r="O52" s="296" t="n"/>
    </row>
    <row customFormat="1" customHeight="1" ht="11.25" r="53" s="142" spans="1:23">
      <c r="A53" s="142" t="s">
        <v>29</v>
      </c>
      <c r="B53" s="142" t="s">
        <v>93</v>
      </c>
      <c r="C53" s="86" t="n">
        <v>225348.78</v>
      </c>
      <c r="D53" s="86" t="n">
        <v>500892.040000001</v>
      </c>
      <c r="E53" s="86" t="n">
        <v>692678.9699999988</v>
      </c>
      <c r="F53" s="86" t="n">
        <v>682530.0999999996</v>
      </c>
      <c r="G53" s="86" t="n">
        <v>536345.0999999996</v>
      </c>
      <c r="H53" s="86" t="n">
        <v>311386.5</v>
      </c>
      <c r="I53" s="86" t="n">
        <v>284572.1000000015</v>
      </c>
      <c r="J53" s="86" t="n">
        <v>618418.0999999978</v>
      </c>
      <c r="K53" s="86" t="n">
        <v>408003.96</v>
      </c>
      <c r="L53" s="86" t="n">
        <v>560189.3199999999</v>
      </c>
      <c r="M53" s="86" t="n">
        <v>257711.9800000004</v>
      </c>
      <c r="N53" s="86" t="n">
        <v>131498.9400000013</v>
      </c>
      <c r="O53" s="86">
        <f>SUM(C53:N53)</f>
        <v/>
      </c>
      <c r="Q53" s="86" t="n"/>
    </row>
    <row customFormat="1" customHeight="1" ht="11.25" r="54" s="142" spans="1:23">
      <c r="A54" s="142" t="n"/>
      <c r="B54" s="98" t="s">
        <v>50</v>
      </c>
      <c r="C54" s="337">
        <f>ROUND(C$5*C53/1000,2)</f>
        <v/>
      </c>
      <c r="D54" s="337">
        <f>ROUND(D$5*D53/1000,2)</f>
        <v/>
      </c>
      <c r="E54" s="337">
        <f>ROUND(E$5*E53/1000,2)</f>
        <v/>
      </c>
      <c r="F54" s="337">
        <f>ROUND(F$5*F53/1000,2)</f>
        <v/>
      </c>
      <c r="G54" s="337">
        <f>ROUND(G$5*G53/1000,2)</f>
        <v/>
      </c>
      <c r="H54" s="337">
        <f>ROUND(H$5*H53/1000,2)</f>
        <v/>
      </c>
      <c r="I54" s="337">
        <f>ROUND(I$5*I53/1000,2)</f>
        <v/>
      </c>
      <c r="J54" s="337">
        <f>ROUND(J$5*J53/1000,2)</f>
        <v/>
      </c>
      <c r="K54" s="337">
        <f>ROUND(K$5*K53/1000,2)</f>
        <v/>
      </c>
      <c r="L54" s="337">
        <f>ROUND(L$5*L53/1000,2)</f>
        <v/>
      </c>
      <c r="M54" s="337">
        <f>ROUND(M$5*M53/1000,2)</f>
        <v/>
      </c>
      <c r="N54" s="337">
        <f>ROUND(N$5*N53/1000,2)</f>
        <v/>
      </c>
      <c r="O54" s="296">
        <f>SUM(C54:N54)</f>
        <v/>
      </c>
    </row>
    <row r="55" spans="1:23">
      <c r="A55" s="145" t="n"/>
      <c r="B55" s="98" t="n"/>
      <c r="C55" s="98" t="n"/>
      <c r="D55" s="98" t="n"/>
      <c r="E55" s="98" t="n"/>
      <c r="F55" s="98" t="n"/>
      <c r="G55" s="98" t="n"/>
      <c r="H55" s="98" t="n"/>
      <c r="I55" s="98" t="n"/>
      <c r="J55" s="98" t="n"/>
      <c r="K55" s="98" t="n"/>
      <c r="L55" s="98" t="n"/>
      <c r="M55" s="98" t="n"/>
      <c r="N55" s="98" t="n"/>
      <c r="O55" s="264" t="n"/>
    </row>
    <row customFormat="1" r="56" s="104" spans="1:23">
      <c r="A56" s="142" t="s">
        <v>98</v>
      </c>
      <c r="B56" s="189" t="n"/>
      <c r="C56" s="156">
        <f>C8++C47+CB6104+C16+C19+C23+C27+C31+C35+C38+C41+C44+C50+C12+C53</f>
        <v/>
      </c>
      <c r="D56" s="156">
        <f>D8++D47+CC6104+D16+D19+D23+D27+D31+D35+D38+D41+D44+D50+D12+D53</f>
        <v/>
      </c>
      <c r="E56" s="156">
        <f>E8++E47+CD6104+E16+E19+E23+E27+E31+E35+E38+E41+E44+E50+E12+E53</f>
        <v/>
      </c>
      <c r="F56" s="156">
        <f>F8++F47+CE6104+F16+F19+F23+F27+F31+F35+F38+F41+F44+F50+F12+F53</f>
        <v/>
      </c>
      <c r="G56" s="156">
        <f>G8++G47+CF6104+G16+G19+G23+G27+G31+G35+G38+G41+G44+G50+G12+G53</f>
        <v/>
      </c>
      <c r="H56" s="156">
        <f>H8++H47+CG6104+H16+H19+H23+H27+H31+H35+H38+H41+H44+H50+H12+H53</f>
        <v/>
      </c>
      <c r="I56" s="156">
        <f>I8++I47+CH6104+I16+I19+I23+I27+I31+I35+I38+I41+I44+I50+I12+I53</f>
        <v/>
      </c>
      <c r="J56" s="156">
        <f>J8++J47+CI6104+J16+J19+J23+J27+J31+J35+J38+J41+J44+J50+J12+J53</f>
        <v/>
      </c>
      <c r="K56" s="156">
        <f>K8++K47+CJ6104+K16+K19+K23+K27+K31+K35+K38+K41+K44+K50+K12+K53</f>
        <v/>
      </c>
      <c r="L56" s="156">
        <f>L8++L47+CK6104+L16+L19+L23+L27+L31+L35+L38+L41+L44+L50+L12+L53</f>
        <v/>
      </c>
      <c r="M56" s="156">
        <f>M8++M47+CL6104+M16+M19+M23+M27+M31+M35+M38+M41+M44+M50+M12+M53</f>
        <v/>
      </c>
      <c r="N56" s="156">
        <f>N8++N47+CM6104+N16+N19+N23+N27+N31+N35+N38+N41+N44+N50+N12+N53</f>
        <v/>
      </c>
      <c r="O56" s="156">
        <f>O8++O47+CN6104+O16+O19+O23+O27+O31+O35+O38+O41+O44+O50+O12+O53</f>
        <v/>
      </c>
      <c r="P56" s="156">
        <f>SUM(C56:N56)</f>
        <v/>
      </c>
    </row>
    <row r="57" spans="1:23">
      <c r="A57" s="142" t="s">
        <v>68</v>
      </c>
      <c r="C57" s="338">
        <f>C9+C54+C48+CB6105+C17+C20+C24+C28+C32+C36+C39+C42+C45+C51+C13</f>
        <v/>
      </c>
      <c r="D57" s="338">
        <f>D9+D54+D48+CC6105+D17+D20+D24+D28+D32+D36+D39+D42+D45+D51+D13</f>
        <v/>
      </c>
      <c r="E57" s="338">
        <f>E9+E54+E48+CD6105+E17+E20+E24+E28+E32+E36+E39+E42+E45+E51+E13</f>
        <v/>
      </c>
      <c r="F57" s="338">
        <f>F9+F54+F48+CE6105+F17+F20+F24+F28+F32+F36+F39+F42+F45+F51+F13</f>
        <v/>
      </c>
      <c r="G57" s="338">
        <f>G9+G54+G48+CF6105+G17+G20+G24+G28+G32+G36+G39+G42+G45+G51+G13</f>
        <v/>
      </c>
      <c r="H57" s="338">
        <f>H9+H54+H48+CG6105+H17+H20+H24+H28+H32+H36+H39+H42+H45+H51+H13</f>
        <v/>
      </c>
      <c r="I57" s="338">
        <f>I9+I54+I48+CH6105+I17+I20+I24+I28+I32+I36+I39+I42+I45+I51+I13</f>
        <v/>
      </c>
      <c r="J57" s="338">
        <f>J9+J54+J48+CI6105+J17+J20+J24+J28+J32+J36+J39+J42+J45+J51+J13</f>
        <v/>
      </c>
      <c r="K57" s="338">
        <f>K9+K54+K48+CJ6105+K17+K20+K24+K28+K32+K36+K39+K42+K45+K51+K13</f>
        <v/>
      </c>
      <c r="L57" s="338">
        <f>L9+L54+L48+CK6105+L17+L20+L24+L28+L32+L36+L39+L42+L45+L51+L13</f>
        <v/>
      </c>
      <c r="M57" s="338">
        <f>M9+M54+M48+CL6105+M17+M20+M24+M28+M32+M36+M39+M42+M45+M51+M13</f>
        <v/>
      </c>
      <c r="N57" s="338">
        <f>N9+N54+N48+CM6105+N17+N20+N24+N28+N32+N36+N39+N42+N45+N51+N13</f>
        <v/>
      </c>
      <c r="O57" s="338">
        <f>O9+O54+O48+CN6105+O17+O20+O24+O28+O32+O36+O39+O42+O45+O51+O13</f>
        <v/>
      </c>
      <c r="P57" s="338">
        <f>SUM(C57:N57)</f>
        <v/>
      </c>
      <c r="R57" s="339" t="n"/>
    </row>
    <row r="59" spans="1:23">
      <c r="A59" s="49" t="s">
        <v>34</v>
      </c>
      <c r="N59" s="265" t="n"/>
    </row>
    <row r="60" spans="1:23">
      <c r="A60" s="49" t="s">
        <v>99</v>
      </c>
      <c r="N60" s="265" t="n"/>
    </row>
    <row r="61" spans="1:23">
      <c r="A61" s="259" t="s">
        <v>100</v>
      </c>
      <c r="B61" s="142" t="n"/>
      <c r="N61" s="265" t="n"/>
    </row>
  </sheetData>
  <printOptions horizontalCentered="1" verticalCentered="1"/>
  <pageMargins bottom="0.5" footer="0.5" header="0.5" left="0" right="0" top="0.5"/>
  <pageSetup orientation="landscape" scale="70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56"/>
  <sheetViews>
    <sheetView topLeftCell="A13" workbookViewId="0">
      <selection activeCell="E41" sqref="E41"/>
    </sheetView>
  </sheetViews>
  <sheetFormatPr baseColWidth="8" defaultColWidth="9.140625" defaultRowHeight="11.25" outlineLevelCol="0"/>
  <cols>
    <col customWidth="1" max="1" min="1" style="101" width="28.5703125"/>
    <col bestFit="1" customWidth="1" max="2" min="2" style="101" width="13.42578125"/>
    <col customWidth="1" max="4" min="3" style="101" width="8.7109375"/>
    <col customWidth="1" max="5" min="5" style="101" width="20.7109375"/>
    <col customWidth="1" max="7" min="6" style="101" width="9.140625"/>
    <col customWidth="1" max="8" min="8" style="101" width="18.28515625"/>
    <col customWidth="1" max="16384" min="9" style="101" width="9.140625"/>
  </cols>
  <sheetData>
    <row customHeight="1" ht="15.75" r="1" s="3" spans="1:9">
      <c r="A1" s="118" t="s">
        <v>3</v>
      </c>
      <c r="B1" s="118" t="s">
        <v>7</v>
      </c>
      <c r="E1" s="119" t="s">
        <v>71</v>
      </c>
      <c r="H1" s="119" t="s">
        <v>101</v>
      </c>
    </row>
    <row customHeight="1" ht="12.75" r="2" s="3" spans="1:9">
      <c r="B2" s="118" t="n"/>
      <c r="E2" s="119" t="n"/>
    </row>
    <row customFormat="1" customHeight="1" ht="12.75" r="3" s="261" spans="1:9">
      <c r="C3" s="340" t="n"/>
      <c r="D3" s="340" t="n"/>
      <c r="I3" s="340" t="n"/>
    </row>
    <row customFormat="1" customHeight="1" ht="22.5" r="4" s="341" spans="1:9">
      <c r="B4" s="342" t="s">
        <v>46</v>
      </c>
      <c r="C4" s="343" t="n">
        <v>39177</v>
      </c>
      <c r="E4" s="342" t="s">
        <v>46</v>
      </c>
      <c r="F4" s="343" t="n">
        <v>39177</v>
      </c>
      <c r="H4" s="104" t="s">
        <v>46</v>
      </c>
      <c r="I4" s="343" t="n">
        <v>39177</v>
      </c>
    </row>
    <row customFormat="1" customHeight="1" ht="12.75" r="5" s="110" spans="1:9">
      <c r="A5" s="261" t="n"/>
      <c r="B5" s="104" t="n"/>
      <c r="C5" s="344" t="n"/>
      <c r="D5" s="344" t="n"/>
      <c r="E5" s="104" t="n"/>
      <c r="F5" s="261" t="n"/>
      <c r="G5" s="261" t="n"/>
      <c r="H5" s="104" t="n"/>
      <c r="I5" s="345" t="n"/>
    </row>
    <row customFormat="1" customHeight="1" ht="12.75" r="6" s="110" spans="1:9">
      <c r="I6" s="110" t="n"/>
    </row>
    <row customFormat="1" customHeight="1" ht="21" r="7" s="110" spans="1:9">
      <c r="A7" s="110" t="s">
        <v>102</v>
      </c>
      <c r="B7" s="106" t="s">
        <v>56</v>
      </c>
      <c r="C7" s="115" t="n">
        <v>397812</v>
      </c>
      <c r="D7" s="108" t="n"/>
      <c r="E7" s="106" t="s">
        <v>103</v>
      </c>
      <c r="F7" s="115" t="n">
        <v>1893</v>
      </c>
      <c r="H7" s="106" t="s">
        <v>91</v>
      </c>
      <c r="I7" s="115" t="n">
        <v>652198</v>
      </c>
    </row>
    <row customFormat="1" customHeight="1" ht="12.75" r="8" s="110" spans="1:9">
      <c r="B8" s="106" t="n"/>
      <c r="C8" s="108" t="n"/>
      <c r="D8" s="108" t="n"/>
      <c r="E8" s="106" t="n"/>
      <c r="F8" s="108" t="n"/>
      <c r="H8" s="106" t="n"/>
      <c r="I8" s="108" t="n"/>
    </row>
    <row customFormat="1" customHeight="1" ht="12.75" r="9" s="110" spans="1:9">
      <c r="B9" s="106" t="n"/>
      <c r="C9" s="108" t="n"/>
      <c r="D9" s="108" t="n"/>
      <c r="E9" s="106" t="n"/>
      <c r="F9" s="108" t="n"/>
      <c r="H9" s="106" t="n"/>
      <c r="I9" s="108" t="n"/>
    </row>
    <row customFormat="1" customHeight="1" ht="12.75" r="10" s="110" spans="1:9">
      <c r="C10" s="346" t="n"/>
      <c r="D10" s="346" t="n"/>
      <c r="E10" s="106" t="n"/>
      <c r="F10" s="346" t="n"/>
      <c r="H10" s="106" t="n"/>
      <c r="I10" s="346" t="n"/>
    </row>
    <row customFormat="1" customHeight="1" ht="21" r="11" s="110" spans="1:9">
      <c r="A11" s="110" t="s">
        <v>104</v>
      </c>
      <c r="B11" s="106" t="s">
        <v>56</v>
      </c>
      <c r="C11" s="115" t="n">
        <v>191212</v>
      </c>
      <c r="D11" s="108" t="n"/>
      <c r="E11" s="106" t="s">
        <v>103</v>
      </c>
      <c r="F11" s="115" t="n">
        <v>4741</v>
      </c>
      <c r="H11" s="106" t="s">
        <v>91</v>
      </c>
      <c r="I11" s="115" t="n">
        <v>1221637</v>
      </c>
    </row>
    <row customFormat="1" customHeight="1" ht="12.75" r="12" s="110" spans="1:9">
      <c r="B12" s="106" t="n"/>
      <c r="C12" s="108" t="n"/>
      <c r="D12" s="108" t="n"/>
      <c r="E12" s="106" t="n"/>
      <c r="F12" s="108" t="n"/>
      <c r="H12" s="106" t="n"/>
      <c r="I12" s="108" t="n"/>
    </row>
    <row customFormat="1" customHeight="1" ht="12.75" r="13" s="110" spans="1:9">
      <c r="B13" s="106" t="n"/>
      <c r="C13" s="108" t="n"/>
      <c r="D13" s="108" t="n"/>
      <c r="E13" s="106" t="n"/>
      <c r="F13" s="108" t="n"/>
      <c r="H13" s="106" t="n"/>
      <c r="I13" s="108" t="n"/>
    </row>
    <row customFormat="1" customHeight="1" ht="12.75" r="14" s="110" spans="1:9">
      <c r="C14" s="346" t="n"/>
      <c r="D14" s="346" t="n"/>
      <c r="E14" s="106" t="n"/>
      <c r="F14" s="346" t="n"/>
      <c r="H14" s="106" t="n"/>
      <c r="I14" s="346" t="n"/>
    </row>
    <row customFormat="1" customHeight="1" ht="21" r="15" s="110" spans="1:9">
      <c r="A15" s="110" t="s">
        <v>12</v>
      </c>
      <c r="B15" s="106" t="s">
        <v>56</v>
      </c>
      <c r="C15" s="115" t="n">
        <v>91887</v>
      </c>
      <c r="D15" s="108" t="n"/>
      <c r="F15" s="108" t="n"/>
      <c r="H15" s="106" t="s">
        <v>91</v>
      </c>
      <c r="I15" s="115" t="n">
        <v>660331</v>
      </c>
    </row>
    <row customFormat="1" customHeight="1" ht="12.75" r="16" s="110" spans="1:9">
      <c r="B16" s="106" t="n"/>
      <c r="C16" s="108" t="n"/>
      <c r="D16" s="108" t="n"/>
      <c r="F16" s="108" t="n"/>
      <c r="H16" s="106" t="n"/>
      <c r="I16" s="108" t="n"/>
    </row>
    <row customFormat="1" customHeight="1" ht="12.75" r="17" s="110" spans="1:9">
      <c r="B17" s="106" t="n"/>
      <c r="C17" s="108" t="n"/>
      <c r="D17" s="108" t="n"/>
      <c r="F17" s="108" t="n"/>
      <c r="H17" s="106" t="n"/>
      <c r="I17" s="108" t="n"/>
    </row>
    <row customFormat="1" customHeight="1" ht="12.75" r="18" s="110" spans="1:9">
      <c r="C18" s="346" t="n"/>
      <c r="D18" s="346" t="n"/>
      <c r="F18" s="346" t="n"/>
      <c r="I18" s="346" t="n"/>
    </row>
    <row customFormat="1" customHeight="1" ht="21" r="19" s="110" spans="1:9">
      <c r="A19" s="110" t="s">
        <v>13</v>
      </c>
      <c r="B19" s="106" t="s">
        <v>56</v>
      </c>
      <c r="C19" s="115" t="n">
        <v>20160</v>
      </c>
      <c r="D19" s="108" t="n"/>
      <c r="F19" s="108" t="n"/>
      <c r="H19" s="106" t="s">
        <v>91</v>
      </c>
      <c r="I19" s="115" t="n">
        <v>990145</v>
      </c>
    </row>
    <row customFormat="1" customHeight="1" ht="12.75" r="20" s="110" spans="1:9">
      <c r="B20" s="106" t="n"/>
      <c r="C20" s="108" t="n"/>
      <c r="D20" s="108" t="n"/>
      <c r="F20" s="108" t="n"/>
      <c r="H20" s="106" t="n"/>
      <c r="I20" s="108" t="n"/>
    </row>
    <row customFormat="1" customHeight="1" ht="12.75" r="21" s="110" spans="1:9">
      <c r="B21" s="106" t="n"/>
      <c r="C21" s="108" t="n"/>
      <c r="D21" s="108" t="n"/>
      <c r="F21" s="108" t="n"/>
      <c r="H21" s="106" t="n"/>
      <c r="I21" s="108" t="n"/>
    </row>
    <row customFormat="1" customHeight="1" ht="12.75" r="22" s="110" spans="1:9">
      <c r="C22" s="346" t="n"/>
      <c r="D22" s="346" t="n"/>
      <c r="F22" s="346" t="n"/>
      <c r="I22" s="346" t="n"/>
    </row>
    <row customFormat="1" customHeight="1" ht="21" r="23" s="110" spans="1:9">
      <c r="A23" s="110" t="s">
        <v>14</v>
      </c>
      <c r="B23" s="106" t="s">
        <v>56</v>
      </c>
      <c r="C23" s="115" t="n">
        <v>288887</v>
      </c>
      <c r="D23" s="108" t="n"/>
      <c r="F23" s="108" t="n"/>
      <c r="I23" s="108" t="n"/>
    </row>
    <row customFormat="1" customHeight="1" ht="12.75" r="24" s="110" spans="1:9">
      <c r="B24" s="106" t="n"/>
      <c r="C24" s="108" t="n"/>
      <c r="D24" s="108" t="n"/>
      <c r="F24" s="108" t="n"/>
      <c r="I24" s="346" t="n"/>
    </row>
    <row customFormat="1" customHeight="1" ht="12.75" r="25" s="110" spans="1:9">
      <c r="B25" s="106" t="n"/>
      <c r="C25" s="108" t="n"/>
      <c r="D25" s="108" t="n"/>
      <c r="F25" s="108" t="n"/>
      <c r="I25" s="346" t="n"/>
    </row>
    <row customFormat="1" customHeight="1" ht="12.75" r="26" s="110" spans="1:9">
      <c r="C26" s="346" t="n"/>
      <c r="D26" s="346" t="n"/>
      <c r="F26" s="346" t="n"/>
    </row>
    <row customFormat="1" customHeight="1" ht="21" r="27" s="110" spans="1:9">
      <c r="A27" s="110" t="s">
        <v>15</v>
      </c>
      <c r="B27" s="106" t="s">
        <v>56</v>
      </c>
      <c r="C27" s="115" t="n">
        <v>24605</v>
      </c>
      <c r="D27" s="108" t="n"/>
      <c r="F27" s="108" t="n"/>
      <c r="I27" s="108" t="n"/>
    </row>
    <row customFormat="1" customHeight="1" ht="12.75" r="28" s="110" spans="1:9">
      <c r="B28" s="106" t="n"/>
      <c r="C28" s="108" t="n"/>
      <c r="D28" s="108" t="n"/>
      <c r="F28" s="108" t="n"/>
      <c r="I28" s="346" t="n"/>
    </row>
    <row customFormat="1" customHeight="1" ht="12.75" r="29" s="110" spans="1:9">
      <c r="B29" s="106" t="n"/>
      <c r="C29" s="108" t="n"/>
      <c r="D29" s="108" t="n"/>
      <c r="F29" s="108" t="n"/>
      <c r="I29" s="346" t="n"/>
    </row>
    <row customFormat="1" customHeight="1" ht="12.75" r="30" s="110" spans="1:9">
      <c r="C30" s="346" t="n"/>
      <c r="D30" s="346" t="n"/>
      <c r="F30" s="346" t="n"/>
    </row>
    <row customFormat="1" customHeight="1" ht="21" r="31" s="110" spans="1:9">
      <c r="A31" s="110" t="s">
        <v>17</v>
      </c>
      <c r="B31" s="106" t="s">
        <v>56</v>
      </c>
      <c r="C31" s="115" t="n">
        <v>45273</v>
      </c>
      <c r="D31" s="108" t="n"/>
      <c r="F31" s="108" t="n"/>
      <c r="I31" s="108" t="n"/>
    </row>
    <row customFormat="1" customHeight="1" ht="12.75" r="32" s="110" spans="1:9">
      <c r="B32" s="106" t="n"/>
      <c r="C32" s="108" t="n"/>
      <c r="D32" s="108" t="n"/>
      <c r="F32" s="108" t="n"/>
      <c r="I32" s="346" t="n"/>
    </row>
    <row customFormat="1" customHeight="1" ht="12.75" r="33" s="110" spans="1:9">
      <c r="B33" s="106" t="n"/>
      <c r="C33" s="108" t="n"/>
      <c r="D33" s="108" t="n"/>
      <c r="F33" s="108" t="n"/>
      <c r="I33" s="346" t="n"/>
    </row>
    <row customFormat="1" customHeight="1" ht="12.75" r="34" s="110" spans="1:9">
      <c r="C34" s="346" t="n"/>
      <c r="D34" s="346" t="n"/>
      <c r="F34" s="346" t="n"/>
    </row>
    <row customFormat="1" customHeight="1" ht="21" r="35" s="110" spans="1:9">
      <c r="A35" s="110" t="s">
        <v>94</v>
      </c>
      <c r="B35" s="106" t="s">
        <v>56</v>
      </c>
      <c r="C35" s="115" t="n">
        <v>39799</v>
      </c>
      <c r="D35" s="108" t="n"/>
      <c r="F35" s="108" t="n"/>
      <c r="I35" s="108" t="n"/>
    </row>
    <row customFormat="1" customHeight="1" ht="12.75" r="36" s="110" spans="1:9">
      <c r="B36" s="106" t="n"/>
      <c r="C36" s="108" t="n"/>
      <c r="D36" s="108" t="n"/>
      <c r="F36" s="108" t="n"/>
      <c r="I36" s="346" t="n"/>
    </row>
    <row customFormat="1" customHeight="1" ht="12.75" r="37" s="110" spans="1:9">
      <c r="B37" s="106" t="n"/>
      <c r="C37" s="108" t="n"/>
      <c r="D37" s="108" t="n"/>
      <c r="F37" s="108" t="n"/>
      <c r="I37" s="346" t="n"/>
    </row>
    <row customFormat="1" customHeight="1" ht="12.75" r="38" s="110" spans="1:9">
      <c r="C38" s="346" t="n"/>
      <c r="D38" s="346" t="n"/>
      <c r="F38" s="346" t="n"/>
      <c r="I38" s="110" t="n"/>
    </row>
    <row customFormat="1" customHeight="1" ht="21" r="39" s="110" spans="1:9">
      <c r="A39" s="110" t="s">
        <v>95</v>
      </c>
      <c r="B39" s="106" t="s">
        <v>56</v>
      </c>
      <c r="C39" s="115" t="n">
        <v>60674</v>
      </c>
      <c r="D39" s="108" t="n"/>
      <c r="F39" s="108" t="n"/>
      <c r="H39" s="106" t="s">
        <v>91</v>
      </c>
      <c r="I39" s="115" t="n">
        <v>329898</v>
      </c>
    </row>
    <row customFormat="1" customHeight="1" ht="12.75" r="40" s="110" spans="1:9">
      <c r="B40" s="106" t="n"/>
      <c r="C40" s="108" t="n"/>
      <c r="D40" s="108" t="n"/>
      <c r="F40" s="108" t="n"/>
      <c r="H40" s="106" t="n"/>
      <c r="I40" s="108" t="n"/>
    </row>
    <row customFormat="1" customHeight="1" ht="12.75" r="41" s="110" spans="1:9">
      <c r="B41" s="106" t="n"/>
      <c r="C41" s="108" t="n"/>
      <c r="D41" s="108" t="n"/>
      <c r="F41" s="108" t="n"/>
      <c r="H41" s="106" t="n"/>
      <c r="I41" s="108" t="n"/>
    </row>
    <row customFormat="1" customHeight="1" ht="12.75" r="42" s="110" spans="1:9">
      <c r="C42" s="346" t="n"/>
      <c r="D42" s="346" t="n"/>
      <c r="F42" s="346" t="n"/>
      <c r="I42" s="346" t="n"/>
    </row>
    <row customFormat="1" customHeight="1" ht="21" r="43" s="110" spans="1:9">
      <c r="A43" s="110" t="s">
        <v>21</v>
      </c>
      <c r="B43" s="106" t="s">
        <v>56</v>
      </c>
      <c r="C43" s="115" t="n">
        <v>47599</v>
      </c>
      <c r="D43" s="108" t="n"/>
      <c r="F43" s="108" t="n"/>
      <c r="I43" s="110" t="n"/>
    </row>
    <row customFormat="1" customHeight="1" ht="12.75" r="44" s="110" spans="1:9">
      <c r="B44" s="106" t="n"/>
      <c r="C44" s="108" t="n"/>
      <c r="D44" s="108" t="n"/>
      <c r="F44" s="108" t="n"/>
      <c r="I44" s="108" t="n"/>
    </row>
    <row customFormat="1" customHeight="1" ht="12.75" r="45" s="110" spans="1:9">
      <c r="B45" s="106" t="n"/>
      <c r="C45" s="108" t="n"/>
      <c r="D45" s="108" t="n"/>
      <c r="F45" s="108" t="n"/>
      <c r="I45" s="108" t="n"/>
    </row>
    <row customFormat="1" customHeight="1" ht="12.75" r="46" s="110" spans="1:9">
      <c r="C46" s="346" t="n"/>
      <c r="D46" s="346" t="n"/>
      <c r="F46" s="346" t="n"/>
      <c r="I46" s="346" t="n"/>
    </row>
    <row customFormat="1" customHeight="1" ht="21" r="47" s="110" spans="1:9">
      <c r="A47" s="110" t="s">
        <v>96</v>
      </c>
      <c r="B47" s="106" t="s">
        <v>56</v>
      </c>
      <c r="C47" s="115" t="n">
        <v>109408</v>
      </c>
      <c r="D47" s="108" t="n"/>
      <c r="F47" s="108" t="n"/>
    </row>
    <row customFormat="1" customHeight="1" ht="12.75" r="48" s="110" spans="1:9">
      <c r="B48" s="106" t="n"/>
      <c r="C48" s="108" t="n"/>
      <c r="D48" s="108" t="n"/>
      <c r="I48" s="108" t="n"/>
    </row>
    <row customHeight="1" ht="12.75" r="49" s="3" spans="1:9">
      <c r="C49" s="347" t="n"/>
      <c r="D49" s="347" t="n"/>
      <c r="I49" s="347" t="n"/>
    </row>
    <row customHeight="1" ht="12.75" r="50" s="3" spans="1:9">
      <c r="I50" s="101" t="n"/>
    </row>
    <row customHeight="1" ht="12.75" r="51" s="3" spans="1:9">
      <c r="A51" s="110" t="s">
        <v>105</v>
      </c>
      <c r="B51" s="106" t="s">
        <v>56</v>
      </c>
      <c r="C51" s="115" t="n">
        <v>63988</v>
      </c>
      <c r="D51" s="108" t="n"/>
      <c r="E51" s="106" t="s">
        <v>103</v>
      </c>
      <c r="F51" s="115" t="n">
        <v>9726</v>
      </c>
    </row>
    <row customHeight="1" ht="12.75" r="52" s="3" spans="1:9">
      <c r="A52" s="110" t="n"/>
      <c r="B52" s="106" t="n"/>
      <c r="C52" s="108" t="n"/>
      <c r="D52" s="108" t="n"/>
      <c r="E52" s="106" t="n"/>
      <c r="F52" s="108" t="n"/>
    </row>
    <row r="55" spans="1:9">
      <c r="A55" s="122" t="n"/>
    </row>
    <row r="56" spans="1:9">
      <c r="A56" s="122" t="n"/>
    </row>
  </sheetData>
  <pageMargins bottom="0.5" footer="0.5" header="0.5" left="0" right="0" top="0.5"/>
  <pageSetup orientation="portrait" scale="8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61"/>
  <sheetViews>
    <sheetView topLeftCell="A116" workbookViewId="0">
      <selection activeCell="C139" sqref="C139"/>
    </sheetView>
  </sheetViews>
  <sheetFormatPr baseColWidth="8" defaultRowHeight="12.75" outlineLevelCol="0"/>
  <cols>
    <col customWidth="1" max="1" min="1" style="3" width="20.140625"/>
    <col customWidth="1" max="7" min="2" style="3" width="11.7109375"/>
    <col bestFit="1" customWidth="1" max="8" min="8" style="3" width="10.140625"/>
    <col bestFit="1" customWidth="1" max="9" min="9" style="3" width="17.7109375"/>
    <col bestFit="1" customWidth="1" max="10" min="10" style="3" width="10"/>
    <col bestFit="1" customWidth="1" max="15" min="11" style="3" width="12"/>
  </cols>
  <sheetData>
    <row customHeight="1" ht="15.75" r="1" s="3" spans="1:15">
      <c r="A1" s="33" t="s">
        <v>106</v>
      </c>
    </row>
    <row r="2" spans="1:15">
      <c r="A2" s="259" t="n"/>
      <c r="B2" s="259" t="n"/>
      <c r="C2" s="259" t="n"/>
      <c r="D2" s="259" t="n"/>
      <c r="E2" s="259" t="n"/>
      <c r="F2" s="259" t="n"/>
    </row>
    <row customHeight="1" ht="25.5" r="3" s="3" spans="1:15">
      <c r="A3" s="2" t="s">
        <v>3</v>
      </c>
      <c r="B3" s="26" t="s">
        <v>4</v>
      </c>
      <c r="C3" s="50" t="s">
        <v>7</v>
      </c>
      <c r="D3" s="50" t="s">
        <v>71</v>
      </c>
      <c r="E3" s="51" t="s">
        <v>107</v>
      </c>
      <c r="F3" s="51" t="s">
        <v>108</v>
      </c>
      <c r="G3" s="51" t="s">
        <v>109</v>
      </c>
    </row>
    <row r="4" spans="1:15">
      <c r="A4" s="283" t="s">
        <v>110</v>
      </c>
      <c r="B4" s="55" t="s">
        <v>111</v>
      </c>
      <c r="C4" s="348">
        <f>IF(ISBLANK('Electric old'!G4),"-",'Electric old'!G4)</f>
        <v/>
      </c>
      <c r="D4" s="349" t="s">
        <v>112</v>
      </c>
      <c r="E4" s="348">
        <f>IF(ISBLANK('Water Old'!G4),"-",'Water Old'!G4)</f>
        <v/>
      </c>
      <c r="F4" s="349" t="s">
        <v>112</v>
      </c>
      <c r="G4" s="349" t="s">
        <v>112</v>
      </c>
    </row>
    <row r="5" spans="1:15">
      <c r="B5" s="55" t="s">
        <v>113</v>
      </c>
      <c r="C5" s="348">
        <f>IF(ISBLANK('Electric old'!G5),"-",'Electric old'!G5)</f>
        <v/>
      </c>
      <c r="D5" s="349" t="s">
        <v>112</v>
      </c>
      <c r="E5" s="348">
        <f>IF(ISBLANK('Water Old'!G5),"-",'Water Old'!G5)</f>
        <v/>
      </c>
      <c r="F5" s="349" t="s">
        <v>112</v>
      </c>
      <c r="G5" s="349" t="s">
        <v>112</v>
      </c>
      <c r="H5" t="s">
        <v>16</v>
      </c>
    </row>
    <row r="6" spans="1:15">
      <c r="B6" s="55" t="s">
        <v>114</v>
      </c>
      <c r="C6" s="348">
        <f>IF(ISBLANK('Electric old'!G6),"-",'Electric old'!G6)</f>
        <v/>
      </c>
      <c r="D6" s="349" t="s">
        <v>112</v>
      </c>
      <c r="E6" s="348">
        <f>IF(ISBLANK('Water Old'!G6),"-",'Water Old'!G6)</f>
        <v/>
      </c>
      <c r="F6" s="348">
        <f>SUM(C6:E6)</f>
        <v/>
      </c>
      <c r="G6" s="350">
        <f>F6</f>
        <v/>
      </c>
    </row>
    <row r="7" spans="1:15">
      <c r="B7" s="55" t="s">
        <v>115</v>
      </c>
      <c r="C7" s="348">
        <f>IF(ISBLANK('Electric old'!G7),"-",'Electric old'!G7)</f>
        <v/>
      </c>
      <c r="D7" s="348">
        <f>IF(ISBLANK(4/24*('Gas Old'!$H$4+'Gas Old'!$H$13)),"-",4/24*('Gas Old'!$H$4+'Gas Old'!$H$13))</f>
        <v/>
      </c>
      <c r="E7" s="348">
        <f>IF(ISBLANK('Water Old'!G7),"-",'Water Old'!G7)</f>
        <v/>
      </c>
      <c r="F7" s="348">
        <f>SUM(C7:E7)</f>
        <v/>
      </c>
      <c r="G7" s="350">
        <f>F7+G6</f>
        <v/>
      </c>
    </row>
    <row r="8" spans="1:15">
      <c r="B8" s="55" t="s">
        <v>116</v>
      </c>
      <c r="C8" s="348">
        <f>IF(ISBLANK('Electric old'!G8),"-",'Electric old'!G8)</f>
        <v/>
      </c>
      <c r="D8" s="348">
        <f>IF(ISBLANK(4/24*('Gas Old'!$H$5+'Gas Old'!$H$14)),"-",4/24*('Gas Old'!$H$5+'Gas Old'!$H$14))</f>
        <v/>
      </c>
      <c r="E8" s="348">
        <f>IF(ISBLANK('Water Old'!G8),"-",'Water Old'!G8)</f>
        <v/>
      </c>
      <c r="F8" s="348">
        <f>SUM(C8:E8)</f>
        <v/>
      </c>
      <c r="G8" s="350">
        <f>F8+G7</f>
        <v/>
      </c>
    </row>
    <row r="9" spans="1:15">
      <c r="B9" s="55" t="s">
        <v>117</v>
      </c>
      <c r="C9" s="348">
        <f>IF(ISBLANK('Electric old'!G9),"-",'Electric old'!G9)</f>
        <v/>
      </c>
      <c r="D9" s="348">
        <f>IF(ISBLANK(4/24*('Gas Old'!$H$6+'Gas Old'!$H$15)),"-",4/24*('Gas Old'!$H$6+'Gas Old'!$H$15))</f>
        <v/>
      </c>
      <c r="E9" s="348">
        <f>IF(ISBLANK('Water Old'!G9),"-",'Water Old'!G9)</f>
        <v/>
      </c>
      <c r="F9" s="348">
        <f>SUM(C9:E9)</f>
        <v/>
      </c>
      <c r="G9" s="350">
        <f>F9+G8</f>
        <v/>
      </c>
    </row>
    <row r="10" spans="1:15">
      <c r="B10" s="55" t="s">
        <v>118</v>
      </c>
      <c r="C10" s="348">
        <f>IF(ISBLANK('Electric old'!G10),"-",'Electric old'!G10)</f>
        <v/>
      </c>
      <c r="D10" s="348">
        <f>IF(ISBLANK(4/24*('Gas Old'!$H$7+'Gas Old'!$H$16)),"-",4/24*('Gas Old'!$H$7+'Gas Old'!$H$16))</f>
        <v/>
      </c>
      <c r="E10" s="348">
        <f>IF(ISBLANK('Water Old'!G10),"-",'Water Old'!G10)</f>
        <v/>
      </c>
      <c r="F10" s="348">
        <f>SUM(C10:E10)</f>
        <v/>
      </c>
      <c r="G10" s="350">
        <f>F10+G9</f>
        <v/>
      </c>
    </row>
    <row r="11" spans="1:15">
      <c r="B11" s="55" t="s">
        <v>119</v>
      </c>
      <c r="C11" s="348">
        <f>IF(ISBLANK('Electric old'!G11),"-",'Electric old'!G11)</f>
        <v/>
      </c>
      <c r="D11" s="348">
        <f>IF(ISBLANK(4/24*('Gas Old'!$H$8+'Gas Old'!$H$17)),"-",4/24*('Gas Old'!$H$8+'Gas Old'!$H$17))</f>
        <v/>
      </c>
      <c r="E11" s="348">
        <f>IF(ISBLANK('Water Old'!G11),"-",'Water Old'!G11)</f>
        <v/>
      </c>
      <c r="F11" s="348">
        <f>SUM(C11:E11)</f>
        <v/>
      </c>
      <c r="G11" s="350">
        <f>F11+G10</f>
        <v/>
      </c>
      <c r="H11" s="351" t="n"/>
    </row>
    <row r="12" spans="1:15">
      <c r="B12" s="55" t="s">
        <v>120</v>
      </c>
      <c r="C12" s="348">
        <f>IF(ISBLANK('Electric old'!G12),"-",'Electric old'!G12)</f>
        <v/>
      </c>
      <c r="D12" s="348">
        <f>IF(ISBLANK(4/24*('Gas Old'!$H$9+'Gas Old'!$H$18)),"-",4/24*('Gas Old'!$H$9+'Gas Old'!$H$18))</f>
        <v/>
      </c>
      <c r="E12" s="348">
        <f>IF(ISBLANK('Water Old'!G12),"-",'Water Old'!G12)</f>
        <v/>
      </c>
      <c r="F12" s="348">
        <f>SUM(C12:E12)</f>
        <v/>
      </c>
      <c r="G12" s="350">
        <f>F12+G11</f>
        <v/>
      </c>
    </row>
    <row r="13" spans="1:15">
      <c r="B13" s="55" t="s">
        <v>121</v>
      </c>
      <c r="C13" s="348">
        <f>IF(ISBLANK('Electric old'!G13),"-",'Electric old'!G13)</f>
        <v/>
      </c>
      <c r="D13" s="348">
        <f>IF(ISBLANK(4/24*('Gas Old'!$H$10+'Gas Old'!$H$19)),"-",4/24*('Gas Old'!$H$10+'Gas Old'!$H$19))</f>
        <v/>
      </c>
      <c r="E13" s="348">
        <f>IF(ISBLANK('Water Old'!G13),"-",'Water Old'!G13)</f>
        <v/>
      </c>
      <c r="F13" s="348">
        <f>SUM(C13:E13)</f>
        <v/>
      </c>
      <c r="G13" s="350">
        <f>F13+G12</f>
        <v/>
      </c>
    </row>
    <row r="14" spans="1:15">
      <c r="B14" s="55" t="s">
        <v>122</v>
      </c>
      <c r="C14" s="348">
        <f>IF(ISBLANK('Electric old'!G14),"-",'Electric old'!G14)</f>
        <v/>
      </c>
      <c r="D14" s="348">
        <f>IF(ISBLANK(4/24*('Gas Old'!$H$11+'Gas Old'!$H$20)),"-",4/24*('Gas Old'!$H$11+'Gas Old'!$H$20))</f>
        <v/>
      </c>
      <c r="E14" s="348">
        <f>IF(ISBLANK('Water Old'!G14),"-",'Water Old'!G14)</f>
        <v/>
      </c>
      <c r="F14" s="348">
        <f>SUM(C14:E14)</f>
        <v/>
      </c>
      <c r="G14" s="350">
        <f>F14+G13</f>
        <v/>
      </c>
    </row>
    <row r="15" spans="1:15">
      <c r="B15" s="55" t="s">
        <v>123</v>
      </c>
      <c r="C15" s="348">
        <f>IF(ISBLANK('Electric old'!G15),"-",'Electric old'!G15)</f>
        <v/>
      </c>
      <c r="D15" s="348">
        <f>IF(ISBLANK(4/24*('Gas Old'!$H$12+'Gas Old'!$H$21)),"-",4/24*('Gas Old'!$H$12+'Gas Old'!$H$21))</f>
        <v/>
      </c>
      <c r="E15" s="348">
        <f>IF(ISBLANK('Water Old'!G15),"-",'Water Old'!G15)</f>
        <v/>
      </c>
      <c r="F15" s="348">
        <f>SUM(C15:E15)</f>
        <v/>
      </c>
      <c r="G15" s="350">
        <f>F15+G14</f>
        <v/>
      </c>
    </row>
    <row r="16" spans="1:15">
      <c r="A16" s="283" t="s">
        <v>104</v>
      </c>
      <c r="B16" s="59">
        <f>B4</f>
        <v/>
      </c>
      <c r="C16" s="348">
        <f>IF(ISBLANK('Electric old'!G16),"-",'Electric old'!G16)</f>
        <v/>
      </c>
      <c r="D16" s="349" t="s">
        <v>112</v>
      </c>
      <c r="E16" s="348">
        <f>IF(ISBLANK('Water Old'!G16),"-",'Water Old'!G16)</f>
        <v/>
      </c>
      <c r="F16" s="349" t="s">
        <v>112</v>
      </c>
      <c r="G16" s="349" t="s">
        <v>112</v>
      </c>
    </row>
    <row r="17" spans="1:15">
      <c r="B17" s="59">
        <f>B5</f>
        <v/>
      </c>
      <c r="C17" s="348">
        <f>IF(ISBLANK('Electric old'!G17),"-",'Electric old'!G17)</f>
        <v/>
      </c>
      <c r="D17" s="349" t="s">
        <v>112</v>
      </c>
      <c r="E17" s="348">
        <f>IF(ISBLANK('Water Old'!G17),"-",'Water Old'!G17)</f>
        <v/>
      </c>
      <c r="F17" s="349" t="s">
        <v>112</v>
      </c>
      <c r="G17" s="349" t="s">
        <v>112</v>
      </c>
    </row>
    <row r="18" spans="1:15">
      <c r="B18" s="59">
        <f>B6</f>
        <v/>
      </c>
      <c r="C18" s="348">
        <f>IF(ISBLANK('Electric old'!G18),"-",'Electric old'!G18)</f>
        <v/>
      </c>
      <c r="D18" s="349" t="s">
        <v>112</v>
      </c>
      <c r="E18" s="348">
        <f>IF(ISBLANK('Water Old'!G18),"-",'Water Old'!G18)</f>
        <v/>
      </c>
      <c r="F18" s="348">
        <f>SUM(C18:E18)</f>
        <v/>
      </c>
      <c r="G18" s="350">
        <f>F18</f>
        <v/>
      </c>
    </row>
    <row r="19" spans="1:15">
      <c r="B19" s="59">
        <f>B7</f>
        <v/>
      </c>
      <c r="C19" s="348">
        <f>IF(ISBLANK('Electric old'!G19),"-",'Electric old'!G19)</f>
        <v/>
      </c>
      <c r="D19" s="348">
        <f>IF(ISBLANK(4/24*('Gas Old'!$H$4+'Gas Old'!$H$13)),"-",4/24*('Gas Old'!$H$4+'Gas Old'!$H$13))</f>
        <v/>
      </c>
      <c r="E19" s="348">
        <f>IF(ISBLANK('Water Old'!G19),"-",'Water Old'!G19)</f>
        <v/>
      </c>
      <c r="F19" s="348">
        <f>SUM(C19:E19)</f>
        <v/>
      </c>
      <c r="G19" s="350">
        <f>F19+G18</f>
        <v/>
      </c>
    </row>
    <row r="20" spans="1:15">
      <c r="B20" s="59">
        <f>B8</f>
        <v/>
      </c>
      <c r="C20" s="348">
        <f>IF(ISBLANK('Electric old'!G20),"-",'Electric old'!G20)</f>
        <v/>
      </c>
      <c r="D20" s="348">
        <f>IF(ISBLANK(4/24*('Gas Old'!$H$5+'Gas Old'!$H$14)),"-",4/24*('Gas Old'!$H$5+'Gas Old'!$H$14))</f>
        <v/>
      </c>
      <c r="E20" s="348">
        <f>IF(ISBLANK('Water Old'!G20),"-",'Water Old'!G20)</f>
        <v/>
      </c>
      <c r="F20" s="348">
        <f>SUM(C20:E20)</f>
        <v/>
      </c>
      <c r="G20" s="350">
        <f>F20+G19</f>
        <v/>
      </c>
    </row>
    <row r="21" spans="1:15">
      <c r="B21" s="59">
        <f>B9</f>
        <v/>
      </c>
      <c r="C21" s="348">
        <f>IF(ISBLANK('Electric old'!G21),"-",'Electric old'!G21)</f>
        <v/>
      </c>
      <c r="D21" s="348">
        <f>IF(ISBLANK(4/24*('Gas Old'!$H$6+'Gas Old'!$H$15)),"-",4/24*('Gas Old'!$H$6+'Gas Old'!$H$15))</f>
        <v/>
      </c>
      <c r="E21" s="348">
        <f>IF(ISBLANK('Water Old'!G21),"-",'Water Old'!G21)</f>
        <v/>
      </c>
      <c r="F21" s="348">
        <f>SUM(C21:E21)</f>
        <v/>
      </c>
      <c r="G21" s="350">
        <f>F21+G20</f>
        <v/>
      </c>
    </row>
    <row r="22" spans="1:15">
      <c r="B22" s="59">
        <f>B10</f>
        <v/>
      </c>
      <c r="C22" s="348">
        <f>IF(ISBLANK('Electric old'!G22),"-",'Electric old'!G22)</f>
        <v/>
      </c>
      <c r="D22" s="348">
        <f>IF(ISBLANK(4/24*('Gas Old'!$H$7+'Gas Old'!$H$16)),"-",4/24*('Gas Old'!$H$7+'Gas Old'!$H$16))</f>
        <v/>
      </c>
      <c r="E22" s="348">
        <f>IF(ISBLANK('Water Old'!G22),"-",'Water Old'!G22)</f>
        <v/>
      </c>
      <c r="F22" s="348">
        <f>SUM(C22:E22)</f>
        <v/>
      </c>
      <c r="G22" s="350">
        <f>F22+G21</f>
        <v/>
      </c>
    </row>
    <row r="23" spans="1:15">
      <c r="B23" s="59">
        <f>B11</f>
        <v/>
      </c>
      <c r="C23" s="348">
        <f>IF(ISBLANK('Electric old'!G23),"-",'Electric old'!G23)</f>
        <v/>
      </c>
      <c r="D23" s="348">
        <f>IF(ISBLANK(4/24*('Gas Old'!$H$8+'Gas Old'!$H$17)),"-",4/24*('Gas Old'!$H$8+'Gas Old'!$H$17))</f>
        <v/>
      </c>
      <c r="E23" s="348">
        <f>IF(ISBLANK('Water Old'!G23),"-",'Water Old'!G23)</f>
        <v/>
      </c>
      <c r="F23" s="348">
        <f>SUM(C23:E23)</f>
        <v/>
      </c>
      <c r="G23" s="350">
        <f>F23+G22</f>
        <v/>
      </c>
      <c r="I23" t="s">
        <v>16</v>
      </c>
    </row>
    <row r="24" spans="1:15">
      <c r="B24" s="59">
        <f>B12</f>
        <v/>
      </c>
      <c r="C24" s="348">
        <f>IF(ISBLANK('Electric old'!G24),"-",'Electric old'!G24)</f>
        <v/>
      </c>
      <c r="D24" s="348">
        <f>IF(ISBLANK(4/24*('Gas Old'!$H9+'Gas Old'!$H18)),"-",4/24*('Gas Old'!$H9+'Gas Old'!$H18))</f>
        <v/>
      </c>
      <c r="E24" s="348">
        <f>IF(ISBLANK('Water Old'!G24),"-",'Water Old'!G24)</f>
        <v/>
      </c>
      <c r="F24" s="348">
        <f>SUM(C24:E24)</f>
        <v/>
      </c>
      <c r="G24" s="350">
        <f>F24+G23</f>
        <v/>
      </c>
    </row>
    <row r="25" spans="1:15">
      <c r="B25" s="59">
        <f>B13</f>
        <v/>
      </c>
      <c r="C25" s="348">
        <f>IF(ISBLANK('Electric old'!G25),"-",'Electric old'!G25)</f>
        <v/>
      </c>
      <c r="D25" s="348">
        <f>IF(ISBLANK(4/24*('Gas Old'!$H10+'Gas Old'!$H19)),"-",4/24*('Gas Old'!$H10+'Gas Old'!$H19))</f>
        <v/>
      </c>
      <c r="E25" s="348">
        <f>IF(ISBLANK('Water Old'!G25),"-",'Water Old'!G25)</f>
        <v/>
      </c>
      <c r="F25" s="348">
        <f>SUM(C25:E25)</f>
        <v/>
      </c>
      <c r="G25" s="350">
        <f>F25+G24</f>
        <v/>
      </c>
    </row>
    <row r="26" spans="1:15">
      <c r="B26" s="59">
        <f>B14</f>
        <v/>
      </c>
      <c r="C26" s="348">
        <f>IF(ISBLANK('Electric old'!G26),"-",'Electric old'!G26)</f>
        <v/>
      </c>
      <c r="D26" s="348">
        <f>IF(ISBLANK(4/24*('Gas Old'!$H11+'Gas Old'!$H20)),"-",4/24*('Gas Old'!$H11+'Gas Old'!$H20))</f>
        <v/>
      </c>
      <c r="E26" s="348">
        <f>IF(ISBLANK('Water Old'!G26),"-",'Water Old'!G26)</f>
        <v/>
      </c>
      <c r="F26" s="348">
        <f>SUM(C26:E26)</f>
        <v/>
      </c>
      <c r="G26" s="350">
        <f>F26+G25</f>
        <v/>
      </c>
    </row>
    <row r="27" spans="1:15">
      <c r="B27" s="59">
        <f>B15</f>
        <v/>
      </c>
      <c r="C27" s="348">
        <f>IF(ISBLANK('Electric old'!G27),"-",'Electric old'!G27)</f>
        <v/>
      </c>
      <c r="D27" s="348">
        <f>IF(ISBLANK(4/24*('Gas Old'!$H$12+'Gas Old'!$H$21)),"-",4/24*('Gas Old'!$H$12+'Gas Old'!$H$21))</f>
        <v/>
      </c>
      <c r="E27" s="348">
        <f>IF(ISBLANK('Water Old'!G27),"-",'Water Old'!G27)</f>
        <v/>
      </c>
      <c r="F27" s="348">
        <f>SUM(C27:E27)</f>
        <v/>
      </c>
      <c r="G27" s="350">
        <f>F27+G26</f>
        <v/>
      </c>
    </row>
    <row r="28" spans="1:15">
      <c r="A28" s="283" t="s">
        <v>12</v>
      </c>
      <c r="B28" s="59">
        <f>B16</f>
        <v/>
      </c>
      <c r="C28" s="348">
        <f>IF(ISBLANK('Electric old'!G28),"-",'Electric old'!G28)</f>
        <v/>
      </c>
      <c r="D28" s="349" t="s">
        <v>112</v>
      </c>
      <c r="E28" s="348">
        <f>IF(ISBLANK('Water Old'!G28),"-",'Water Old'!G28)</f>
        <v/>
      </c>
      <c r="F28" s="349" t="s">
        <v>112</v>
      </c>
      <c r="G28" s="349" t="s">
        <v>112</v>
      </c>
    </row>
    <row r="29" spans="1:15">
      <c r="B29" s="59">
        <f>B17</f>
        <v/>
      </c>
      <c r="C29" s="348">
        <f>IF(ISBLANK('Electric old'!G29),"-",'Electric old'!G29)</f>
        <v/>
      </c>
      <c r="D29" s="349" t="s">
        <v>112</v>
      </c>
      <c r="E29" s="348">
        <f>IF(ISBLANK('Water Old'!G29),"-",'Water Old'!G29)</f>
        <v/>
      </c>
      <c r="F29" s="349" t="s">
        <v>112</v>
      </c>
      <c r="G29" s="349" t="s">
        <v>112</v>
      </c>
    </row>
    <row r="30" spans="1:15">
      <c r="B30" s="59">
        <f>B18</f>
        <v/>
      </c>
      <c r="C30" s="348">
        <f>IF(ISBLANK('Electric old'!G30),"-",'Electric old'!G30)</f>
        <v/>
      </c>
      <c r="D30" s="349" t="s">
        <v>112</v>
      </c>
      <c r="E30" s="348">
        <f>IF(ISBLANK('Water Old'!G30),"-",'Water Old'!G30)</f>
        <v/>
      </c>
      <c r="F30" s="348">
        <f>SUM(C30:E30)</f>
        <v/>
      </c>
      <c r="G30" s="350">
        <f>F30</f>
        <v/>
      </c>
    </row>
    <row r="31" spans="1:15">
      <c r="B31" s="59">
        <f>B19</f>
        <v/>
      </c>
      <c r="C31" s="348">
        <f>IF(ISBLANK('Electric old'!G31),"-",'Electric old'!G31)</f>
        <v/>
      </c>
      <c r="D31" s="348">
        <f>IF(ISBLANK(2/24*('Gas Old'!$H$4+'Gas Old'!$H$13)),"-",2/24*('Gas Old'!$H$4+'Gas Old'!$H$13))</f>
        <v/>
      </c>
      <c r="E31" s="348">
        <f>IF(ISBLANK('Water Old'!G31),"-",'Water Old'!G31)</f>
        <v/>
      </c>
      <c r="F31" s="348">
        <f>SUM(C31:E31)</f>
        <v/>
      </c>
      <c r="G31" s="350">
        <f>F31+G30</f>
        <v/>
      </c>
    </row>
    <row r="32" spans="1:15">
      <c r="B32" s="59">
        <f>B20</f>
        <v/>
      </c>
      <c r="C32" s="348">
        <f>IF(ISBLANK('Electric old'!G32),"-",'Electric old'!G32)</f>
        <v/>
      </c>
      <c r="D32" s="348">
        <f>IF(ISBLANK(2/24*('Gas Old'!$H$5+'Gas Old'!$H$14)),"-",2/24*('Gas Old'!$H$5+'Gas Old'!$H$14))</f>
        <v/>
      </c>
      <c r="E32" s="348">
        <f>IF(ISBLANK('Water Old'!G32),"-",'Water Old'!G32)</f>
        <v/>
      </c>
      <c r="F32" s="348">
        <f>SUM(C32:E32)</f>
        <v/>
      </c>
      <c r="G32" s="350">
        <f>F32+G31</f>
        <v/>
      </c>
    </row>
    <row r="33" spans="1:15">
      <c r="B33" s="59">
        <f>B21</f>
        <v/>
      </c>
      <c r="C33" s="348">
        <f>IF(ISBLANK('Electric old'!G33),"-",'Electric old'!G33)</f>
        <v/>
      </c>
      <c r="D33" s="348">
        <f>IF(ISBLANK(2/24*('Gas Old'!$H$6+'Gas Old'!$H$15)),"-",2/24*('Gas Old'!$H$6+'Gas Old'!$H$15))</f>
        <v/>
      </c>
      <c r="E33" s="348">
        <f>IF(ISBLANK('Water Old'!G33),"-",'Water Old'!G33)</f>
        <v/>
      </c>
      <c r="F33" s="348">
        <f>SUM(C33:E33)</f>
        <v/>
      </c>
      <c r="G33" s="350">
        <f>F33+G32</f>
        <v/>
      </c>
    </row>
    <row r="34" spans="1:15">
      <c r="B34" s="59">
        <f>B22</f>
        <v/>
      </c>
      <c r="C34" s="348">
        <f>IF(ISBLANK('Electric old'!G34),"-",'Electric old'!G34)</f>
        <v/>
      </c>
      <c r="D34" s="348">
        <f>IF(ISBLANK(2/24*('Gas Old'!$H$7+'Gas Old'!$H$16)),"-",2/24*('Gas Old'!$H$7+'Gas Old'!$H$16))</f>
        <v/>
      </c>
      <c r="E34" s="348">
        <f>IF(ISBLANK('Water Old'!G34),"-",'Water Old'!G34)</f>
        <v/>
      </c>
      <c r="F34" s="348">
        <f>SUM(C34:E34)</f>
        <v/>
      </c>
      <c r="G34" s="350">
        <f>F34+G33</f>
        <v/>
      </c>
    </row>
    <row r="35" spans="1:15">
      <c r="B35" s="59">
        <f>B23</f>
        <v/>
      </c>
      <c r="C35" s="348">
        <f>IF(ISBLANK('Electric old'!G35),"-",'Electric old'!G35)</f>
        <v/>
      </c>
      <c r="D35" s="348">
        <f>IF(ISBLANK(2/24*('Gas Old'!$H$8+'Gas Old'!$H$17)),"-",2/24*('Gas Old'!$H$8+'Gas Old'!$H$17))</f>
        <v/>
      </c>
      <c r="E35" s="348">
        <f>IF(ISBLANK('Water Old'!G35),"-",'Water Old'!G35)</f>
        <v/>
      </c>
      <c r="F35" s="348">
        <f>SUM(C35:E35)</f>
        <v/>
      </c>
      <c r="G35" s="350">
        <f>F35+G34</f>
        <v/>
      </c>
    </row>
    <row r="36" spans="1:15">
      <c r="B36" s="59">
        <f>B24</f>
        <v/>
      </c>
      <c r="C36" s="348">
        <f>IF(ISBLANK('Electric old'!G36),"-",'Electric old'!G36)</f>
        <v/>
      </c>
      <c r="D36" s="348">
        <f>IF(ISBLANK(2/24*('Gas Old'!$H9+'Gas Old'!$H18)),"-",2/24*('Gas Old'!$H9+'Gas Old'!$H18))</f>
        <v/>
      </c>
      <c r="E36" s="348">
        <f>IF(ISBLANK('Water Old'!G36),"-",'Water Old'!G36)</f>
        <v/>
      </c>
      <c r="F36" s="348">
        <f>SUM(C36:E36)</f>
        <v/>
      </c>
      <c r="G36" s="350">
        <f>F36+G35</f>
        <v/>
      </c>
    </row>
    <row r="37" spans="1:15">
      <c r="B37" s="59">
        <f>B25</f>
        <v/>
      </c>
      <c r="C37" s="348">
        <f>IF(ISBLANK('Electric old'!G37),"-",'Electric old'!G37)</f>
        <v/>
      </c>
      <c r="D37" s="348">
        <f>IF(ISBLANK(2/24*('Gas Old'!$H10+'Gas Old'!$H19)),"-",2/24*('Gas Old'!$H10+'Gas Old'!$H19))</f>
        <v/>
      </c>
      <c r="E37" s="348">
        <f>IF(ISBLANK('Water Old'!G37),"-",'Water Old'!G37)</f>
        <v/>
      </c>
      <c r="F37" s="348">
        <f>SUM(C37:E37)</f>
        <v/>
      </c>
      <c r="G37" s="350">
        <f>F37+G36</f>
        <v/>
      </c>
    </row>
    <row r="38" spans="1:15">
      <c r="B38" s="59">
        <f>B26</f>
        <v/>
      </c>
      <c r="C38" s="348">
        <f>IF(ISBLANK('Electric old'!G38),"-",'Electric old'!G38)</f>
        <v/>
      </c>
      <c r="D38" s="348">
        <f>IF(ISBLANK(2/24*('Gas Old'!$H11+'Gas Old'!$H20)),"-",2/24*('Gas Old'!$H11+'Gas Old'!$H20))</f>
        <v/>
      </c>
      <c r="E38" s="348">
        <f>IF(ISBLANK('Water Old'!G38),"-",'Water Old'!G38)</f>
        <v/>
      </c>
      <c r="F38" s="348">
        <f>SUM(C38:E38)</f>
        <v/>
      </c>
      <c r="G38" s="350">
        <f>F38+G37</f>
        <v/>
      </c>
    </row>
    <row r="39" spans="1:15">
      <c r="B39" s="59">
        <f>B27</f>
        <v/>
      </c>
      <c r="C39" s="348">
        <f>IF(ISBLANK('Electric old'!G39),"-",'Electric old'!G39)</f>
        <v/>
      </c>
      <c r="D39" s="348">
        <f>IF(ISBLANK(2/24*('Gas Old'!$H12+'Gas Old'!$H21)),"-",2/24*('Gas Old'!$H12+'Gas Old'!$H21))</f>
        <v/>
      </c>
      <c r="E39" s="348">
        <f>IF(ISBLANK('Water Old'!G39),"-",'Water Old'!G39)</f>
        <v/>
      </c>
      <c r="F39" s="348">
        <f>SUM(C39:E39)</f>
        <v/>
      </c>
      <c r="G39" s="350">
        <f>F39+G38</f>
        <v/>
      </c>
    </row>
    <row r="40" spans="1:15">
      <c r="A40" s="283" t="s">
        <v>13</v>
      </c>
      <c r="B40" s="59">
        <f>B28</f>
        <v/>
      </c>
      <c r="C40" s="348">
        <f>IF(ISBLANK('Electric old'!G40),"-",'Electric old'!G40)</f>
        <v/>
      </c>
      <c r="D40" s="349" t="s">
        <v>112</v>
      </c>
      <c r="E40" s="348">
        <f>IF(ISBLANK('Water Old'!G40),"-",'Water Old'!G40)</f>
        <v/>
      </c>
      <c r="F40" s="349" t="s">
        <v>112</v>
      </c>
      <c r="G40" s="349" t="s">
        <v>112</v>
      </c>
    </row>
    <row r="41" spans="1:15">
      <c r="B41" s="59">
        <f>B29</f>
        <v/>
      </c>
      <c r="C41" s="348">
        <f>IF(ISBLANK('Electric old'!G41),"-",'Electric old'!G41)</f>
        <v/>
      </c>
      <c r="D41" s="349" t="s">
        <v>112</v>
      </c>
      <c r="E41" s="348">
        <f>IF(ISBLANK('Water Old'!G41),"-",'Water Old'!G41)</f>
        <v/>
      </c>
      <c r="F41" s="349" t="s">
        <v>112</v>
      </c>
      <c r="G41" s="349" t="s">
        <v>112</v>
      </c>
    </row>
    <row r="42" spans="1:15">
      <c r="B42" s="59">
        <f>B30</f>
        <v/>
      </c>
      <c r="C42" s="348">
        <f>IF(ISBLANK('Electric old'!G42),"-",'Electric old'!G42)</f>
        <v/>
      </c>
      <c r="D42" s="349" t="s">
        <v>112</v>
      </c>
      <c r="E42" s="348">
        <f>IF(ISBLANK('Water Old'!G42),"-",'Water Old'!G42)</f>
        <v/>
      </c>
      <c r="F42" s="348">
        <f>SUM(C42:E42)</f>
        <v/>
      </c>
      <c r="G42" s="350">
        <f>F42</f>
        <v/>
      </c>
    </row>
    <row r="43" spans="1:15">
      <c r="B43" s="59">
        <f>B31</f>
        <v/>
      </c>
      <c r="C43" s="348">
        <f>IF(ISBLANK('Electric old'!G43),"-",'Electric old'!G43)</f>
        <v/>
      </c>
      <c r="D43" s="348">
        <f>IF(ISBLANK(2/24*('Gas Old'!$H$4+'Gas Old'!$H$13)),"-",2/24*('Gas Old'!$H$4+'Gas Old'!$H$13))</f>
        <v/>
      </c>
      <c r="E43" s="348">
        <f>IF(ISBLANK('Water Old'!G43),"-",'Water Old'!G43)</f>
        <v/>
      </c>
      <c r="F43" s="348">
        <f>SUM(C43:E43)</f>
        <v/>
      </c>
      <c r="G43" s="350">
        <f>F43+G42</f>
        <v/>
      </c>
    </row>
    <row r="44" spans="1:15">
      <c r="B44" s="59">
        <f>B32</f>
        <v/>
      </c>
      <c r="C44" s="348">
        <f>IF(ISBLANK('Electric old'!G44),"-",'Electric old'!G44)</f>
        <v/>
      </c>
      <c r="D44" s="348">
        <f>IF(ISBLANK(2/24*('Gas Old'!$H$5+'Gas Old'!$H$14)),"-",2/24*('Gas Old'!$H$5+'Gas Old'!$H$14))</f>
        <v/>
      </c>
      <c r="E44" s="348">
        <f>IF(ISBLANK('Water Old'!G44),"-",'Water Old'!G44)</f>
        <v/>
      </c>
      <c r="F44" s="348">
        <f>SUM(C44:E44)</f>
        <v/>
      </c>
      <c r="G44" s="350">
        <f>F44+G43</f>
        <v/>
      </c>
    </row>
    <row r="45" spans="1:15">
      <c r="B45" s="59">
        <f>B33</f>
        <v/>
      </c>
      <c r="C45" s="348">
        <f>IF(ISBLANK('Electric old'!G45),"-",'Electric old'!G45)</f>
        <v/>
      </c>
      <c r="D45" s="348">
        <f>IF(ISBLANK(2/24*('Gas Old'!$H$6+'Gas Old'!$H$15)),"-",2/24*('Gas Old'!$H$6+'Gas Old'!$H$15))</f>
        <v/>
      </c>
      <c r="E45" s="348">
        <f>IF(ISBLANK('Water Old'!G45),"-",'Water Old'!G45)</f>
        <v/>
      </c>
      <c r="F45" s="348">
        <f>SUM(C45:E45)</f>
        <v/>
      </c>
      <c r="G45" s="350">
        <f>F45+G44</f>
        <v/>
      </c>
    </row>
    <row r="46" spans="1:15">
      <c r="B46" s="59">
        <f>B34</f>
        <v/>
      </c>
      <c r="C46" s="348">
        <f>IF(ISBLANK('Electric old'!G46),"-",'Electric old'!G46)</f>
        <v/>
      </c>
      <c r="D46" s="348">
        <f>IF(ISBLANK(2/24*('Gas Old'!$H$7+'Gas Old'!$H$16)),"-",2/24*('Gas Old'!$H$7+'Gas Old'!$H$16))</f>
        <v/>
      </c>
      <c r="E46" s="348">
        <f>IF(ISBLANK('Water Old'!G46),"-",'Water Old'!G46)</f>
        <v/>
      </c>
      <c r="F46" s="348">
        <f>SUM(C46:E46)</f>
        <v/>
      </c>
      <c r="G46" s="350">
        <f>F46+G45</f>
        <v/>
      </c>
    </row>
    <row r="47" spans="1:15">
      <c r="B47" s="59">
        <f>B35</f>
        <v/>
      </c>
      <c r="C47" s="348">
        <f>IF(ISBLANK('Electric old'!G47),"-",'Electric old'!G47)</f>
        <v/>
      </c>
      <c r="D47" s="348">
        <f>IF(ISBLANK(2/24*('Gas Old'!$H$8+'Gas Old'!$H$17)),"-",2/24*('Gas Old'!$H$8+'Gas Old'!$H$17))</f>
        <v/>
      </c>
      <c r="E47" s="348">
        <f>IF(ISBLANK('Water Old'!G47),"-",'Water Old'!G47)</f>
        <v/>
      </c>
      <c r="F47" s="348">
        <f>SUM(C47:E47)</f>
        <v/>
      </c>
      <c r="G47" s="350">
        <f>F47+G46</f>
        <v/>
      </c>
    </row>
    <row r="48" spans="1:15">
      <c r="B48" s="59">
        <f>B36</f>
        <v/>
      </c>
      <c r="C48" s="348">
        <f>IF(ISBLANK('Electric old'!G48),"-",'Electric old'!G48)</f>
        <v/>
      </c>
      <c r="D48" s="348">
        <f>IF(ISBLANK(2/24*('Gas Old'!$H9+'Gas Old'!$H18)),"-",2/24*('Gas Old'!$H9+'Gas Old'!$H18))</f>
        <v/>
      </c>
      <c r="E48" s="348">
        <f>IF(ISBLANK('Water Old'!G48),"-",'Water Old'!G48)</f>
        <v/>
      </c>
      <c r="F48" s="348">
        <f>SUM(C48:E48)</f>
        <v/>
      </c>
      <c r="G48" s="350">
        <f>F48+G47</f>
        <v/>
      </c>
    </row>
    <row r="49" spans="1:15">
      <c r="B49" s="59">
        <f>B37</f>
        <v/>
      </c>
      <c r="C49" s="348">
        <f>IF(ISBLANK('Electric old'!G49),"-",'Electric old'!G49)</f>
        <v/>
      </c>
      <c r="D49" s="348">
        <f>IF(ISBLANK(2/24*('Gas Old'!$H10+'Gas Old'!$H19)),"-",2/24*('Gas Old'!$H10+'Gas Old'!$H19))</f>
        <v/>
      </c>
      <c r="E49" s="348">
        <f>IF(ISBLANK('Water Old'!G49),"-",'Water Old'!G49)</f>
        <v/>
      </c>
      <c r="F49" s="348">
        <f>SUM(C49:E49)</f>
        <v/>
      </c>
      <c r="G49" s="350">
        <f>F49+G48</f>
        <v/>
      </c>
    </row>
    <row r="50" spans="1:15">
      <c r="B50" s="59">
        <f>B38</f>
        <v/>
      </c>
      <c r="C50" s="348">
        <f>IF(ISBLANK('Electric old'!G50),"-",'Electric old'!G50)</f>
        <v/>
      </c>
      <c r="D50" s="348">
        <f>IF(ISBLANK(2/24*('Gas Old'!$H11+'Gas Old'!$H20)),"-",2/24*('Gas Old'!$H11+'Gas Old'!$H20))</f>
        <v/>
      </c>
      <c r="E50" s="348">
        <f>IF(ISBLANK('Water Old'!G50),"-",'Water Old'!G50)</f>
        <v/>
      </c>
      <c r="F50" s="348">
        <f>SUM(C50:E50)</f>
        <v/>
      </c>
      <c r="G50" s="350">
        <f>F50+G49</f>
        <v/>
      </c>
    </row>
    <row r="51" spans="1:15">
      <c r="B51" s="59">
        <f>B39</f>
        <v/>
      </c>
      <c r="C51" s="348">
        <f>IF(ISBLANK('Electric old'!G51),"-",'Electric old'!G51)</f>
        <v/>
      </c>
      <c r="D51" s="348">
        <f>IF(ISBLANK(2/24*('Gas Old'!$H12+'Gas Old'!$H21)),"-",2/24*('Gas Old'!$H12+'Gas Old'!$H21))</f>
        <v/>
      </c>
      <c r="E51" s="348">
        <f>IF(ISBLANK('Water Old'!G51),"-",'Water Old'!G51)</f>
        <v/>
      </c>
      <c r="F51" s="348">
        <f>SUM(C51:E51)</f>
        <v/>
      </c>
      <c r="G51" s="350">
        <f>F51+G50</f>
        <v/>
      </c>
    </row>
    <row r="52" spans="1:15">
      <c r="A52" s="283" t="s">
        <v>14</v>
      </c>
      <c r="B52" s="59">
        <f>B40</f>
        <v/>
      </c>
      <c r="C52" s="348">
        <f>IF(ISBLANK('Electric old'!G52),"-",'Electric old'!G52)</f>
        <v/>
      </c>
      <c r="D52" s="349" t="s">
        <v>112</v>
      </c>
      <c r="E52" s="348">
        <f>IF(ISBLANK('Water Old'!G52),"-",'Water Old'!G52)</f>
        <v/>
      </c>
      <c r="F52" s="349" t="s">
        <v>112</v>
      </c>
      <c r="G52" s="349" t="s">
        <v>112</v>
      </c>
    </row>
    <row r="53" spans="1:15">
      <c r="B53" s="59">
        <f>B41</f>
        <v/>
      </c>
      <c r="C53" s="348">
        <f>IF(ISBLANK('Electric old'!G53),"-",'Electric old'!G53)</f>
        <v/>
      </c>
      <c r="D53" s="349" t="s">
        <v>112</v>
      </c>
      <c r="E53" s="348">
        <f>IF(ISBLANK('Water Old'!G53),"-",'Water Old'!G53)</f>
        <v/>
      </c>
      <c r="F53" s="349" t="s">
        <v>112</v>
      </c>
      <c r="G53" s="349" t="s">
        <v>112</v>
      </c>
    </row>
    <row r="54" spans="1:15">
      <c r="B54" s="59">
        <f>B42</f>
        <v/>
      </c>
      <c r="C54" s="348">
        <f>IF(ISBLANK('Electric old'!G54),"-",'Electric old'!G54)</f>
        <v/>
      </c>
      <c r="D54" s="349" t="s">
        <v>112</v>
      </c>
      <c r="E54" s="348">
        <f>IF(ISBLANK('Water Old'!G54),"-",'Water Old'!G54)</f>
        <v/>
      </c>
      <c r="F54" s="348">
        <f>SUM(C54:E54)</f>
        <v/>
      </c>
      <c r="G54" s="350">
        <f>F54</f>
        <v/>
      </c>
    </row>
    <row r="55" spans="1:15">
      <c r="B55" s="59">
        <f>B43</f>
        <v/>
      </c>
      <c r="C55" s="348">
        <f>IF(ISBLANK('Electric old'!G55),"-",'Electric old'!G55)</f>
        <v/>
      </c>
      <c r="D55" s="348">
        <f>IF(ISBLANK(2/24*('Gas Old'!$H$4+'Gas Old'!$H$13)),"-",2/24*('Gas Old'!$H$4+'Gas Old'!$H$13))</f>
        <v/>
      </c>
      <c r="E55" s="348">
        <f>IF(ISBLANK('Water Old'!G55),"-",'Water Old'!G55)</f>
        <v/>
      </c>
      <c r="F55" s="348">
        <f>SUM(C55:E55)</f>
        <v/>
      </c>
      <c r="G55" s="350">
        <f>F55+G54</f>
        <v/>
      </c>
    </row>
    <row r="56" spans="1:15">
      <c r="B56" s="59">
        <f>B44</f>
        <v/>
      </c>
      <c r="C56" s="348">
        <f>IF(ISBLANK('Electric old'!G56),"-",'Electric old'!G56)</f>
        <v/>
      </c>
      <c r="D56" s="348">
        <f>IF(ISBLANK(2/24*('Gas Old'!$H$5+'Gas Old'!$H$14)),"-",2/24*('Gas Old'!$H$5+'Gas Old'!$H$14))</f>
        <v/>
      </c>
      <c r="E56" s="348">
        <f>IF(ISBLANK('Water Old'!G56),"-",'Water Old'!G56)</f>
        <v/>
      </c>
      <c r="F56" s="348">
        <f>SUM(C56:E56)</f>
        <v/>
      </c>
      <c r="G56" s="350">
        <f>F56+G55</f>
        <v/>
      </c>
    </row>
    <row r="57" spans="1:15">
      <c r="B57" s="59">
        <f>B45</f>
        <v/>
      </c>
      <c r="C57" s="348">
        <f>IF(ISBLANK('Electric old'!G57),"-",'Electric old'!G57)</f>
        <v/>
      </c>
      <c r="D57" s="348">
        <f>IF(ISBLANK(2/24*('Gas Old'!$H$6+'Gas Old'!$H$15)),"-",2/24*('Gas Old'!$H$6+'Gas Old'!$H$15))</f>
        <v/>
      </c>
      <c r="E57" s="348">
        <f>IF(ISBLANK('Water Old'!G57),"-",'Water Old'!G57)</f>
        <v/>
      </c>
      <c r="F57" s="348">
        <f>SUM(C57:E57)</f>
        <v/>
      </c>
      <c r="G57" s="350">
        <f>F57+G56</f>
        <v/>
      </c>
    </row>
    <row r="58" spans="1:15">
      <c r="B58" s="59">
        <f>B46</f>
        <v/>
      </c>
      <c r="C58" s="348">
        <f>IF(ISBLANK('Electric old'!G58),"-",'Electric old'!G58)</f>
        <v/>
      </c>
      <c r="D58" s="348">
        <f>IF(ISBLANK(2/24*('Gas Old'!$H$7+'Gas Old'!$H$16)),"-",2/24*('Gas Old'!$H$7+'Gas Old'!$H$16))</f>
        <v/>
      </c>
      <c r="E58" s="348">
        <f>IF(ISBLANK('Water Old'!G58),"-",'Water Old'!G58)</f>
        <v/>
      </c>
      <c r="F58" s="348">
        <f>SUM(C58:E58)</f>
        <v/>
      </c>
      <c r="G58" s="350">
        <f>F58+G57</f>
        <v/>
      </c>
    </row>
    <row r="59" spans="1:15">
      <c r="B59" s="59">
        <f>B47</f>
        <v/>
      </c>
      <c r="C59" s="348">
        <f>IF(ISBLANK('Electric old'!G59),"-",'Electric old'!G59)</f>
        <v/>
      </c>
      <c r="D59" s="348">
        <f>IF(ISBLANK(2/24*('Gas Old'!$H$8+'Gas Old'!$H$17)),"-",2/24*('Gas Old'!$H$8+'Gas Old'!$H$17))</f>
        <v/>
      </c>
      <c r="E59" s="348">
        <f>IF(ISBLANK('Water Old'!G59),"-",'Water Old'!G59)</f>
        <v/>
      </c>
      <c r="F59" s="348">
        <f>SUM(C59:E59)</f>
        <v/>
      </c>
      <c r="G59" s="350">
        <f>F59+G58</f>
        <v/>
      </c>
    </row>
    <row r="60" spans="1:15">
      <c r="B60" s="59">
        <f>B48</f>
        <v/>
      </c>
      <c r="C60" s="348">
        <f>IF(ISBLANK('Electric old'!G60),"-",'Electric old'!G60)</f>
        <v/>
      </c>
      <c r="D60" s="348">
        <f>IF(ISBLANK(2/24*('Gas Old'!$H9+'Gas Old'!$H18)),"-",2/24*('Gas Old'!$H9+'Gas Old'!$H18))</f>
        <v/>
      </c>
      <c r="E60" s="348">
        <f>IF(ISBLANK('Water Old'!G60),"-",'Water Old'!G60)</f>
        <v/>
      </c>
      <c r="F60" s="348">
        <f>SUM(C60:E60)</f>
        <v/>
      </c>
      <c r="G60" s="350">
        <f>F60+G59</f>
        <v/>
      </c>
    </row>
    <row r="61" spans="1:15">
      <c r="B61" s="59">
        <f>B49</f>
        <v/>
      </c>
      <c r="C61" s="348">
        <f>IF(ISBLANK('Electric old'!G61),"-",'Electric old'!G61)</f>
        <v/>
      </c>
      <c r="D61" s="348">
        <f>IF(ISBLANK(2/24*('Gas Old'!$H10+'Gas Old'!$H19)),"-",2/24*('Gas Old'!$H10+'Gas Old'!$H19))</f>
        <v/>
      </c>
      <c r="E61" s="348">
        <f>IF(ISBLANK('Water Old'!G61),"-",'Water Old'!G61)</f>
        <v/>
      </c>
      <c r="F61" s="348">
        <f>SUM(C61:E61)</f>
        <v/>
      </c>
      <c r="G61" s="350">
        <f>F61+G60</f>
        <v/>
      </c>
    </row>
    <row r="62" spans="1:15">
      <c r="B62" s="59">
        <f>B50</f>
        <v/>
      </c>
      <c r="C62" s="348">
        <f>IF(ISBLANK('Electric old'!G62),"-",'Electric old'!G62)</f>
        <v/>
      </c>
      <c r="D62" s="348">
        <f>IF(ISBLANK(2/24*('Gas Old'!$H11+'Gas Old'!$H20)),"-",2/24*('Gas Old'!$H11+'Gas Old'!$H20))</f>
        <v/>
      </c>
      <c r="E62" s="348">
        <f>IF(ISBLANK('Water Old'!G62),"-",'Water Old'!G62)</f>
        <v/>
      </c>
      <c r="F62" s="348">
        <f>SUM(C62:E62)</f>
        <v/>
      </c>
      <c r="G62" s="350">
        <f>F62+G61</f>
        <v/>
      </c>
    </row>
    <row r="63" spans="1:15">
      <c r="B63" s="59">
        <f>B51</f>
        <v/>
      </c>
      <c r="C63" s="348">
        <f>IF(ISBLANK('Electric old'!G63),"-",'Electric old'!G63)</f>
        <v/>
      </c>
      <c r="D63" s="348">
        <f>IF(ISBLANK(2/24*('Gas Old'!$H12+'Gas Old'!$H21)),"-",2/24*('Gas Old'!$H12+'Gas Old'!$H21))</f>
        <v/>
      </c>
      <c r="E63" s="348">
        <f>IF(ISBLANK('Water Old'!G63),"-",'Water Old'!G63)</f>
        <v/>
      </c>
      <c r="F63" s="348">
        <f>SUM(C63:E63)</f>
        <v/>
      </c>
      <c r="G63" s="350">
        <f>F63+G62</f>
        <v/>
      </c>
    </row>
    <row r="64" spans="1:15">
      <c r="A64" s="283" t="s">
        <v>15</v>
      </c>
      <c r="B64" s="59">
        <f>B52</f>
        <v/>
      </c>
      <c r="C64" s="348">
        <f>IF(ISBLANK('Electric old'!G64),"-",'Electric old'!G64)</f>
        <v/>
      </c>
      <c r="D64" s="349" t="s">
        <v>112</v>
      </c>
      <c r="E64" s="348">
        <f>IF(ISBLANK('Water Old'!G64),"-",'Water Old'!G64)</f>
        <v/>
      </c>
      <c r="F64" s="349" t="s">
        <v>112</v>
      </c>
      <c r="G64" s="349" t="s">
        <v>112</v>
      </c>
    </row>
    <row r="65" spans="1:15">
      <c r="B65" s="59">
        <f>B53</f>
        <v/>
      </c>
      <c r="C65" s="348">
        <f>IF(ISBLANK('Electric old'!G65),"-",'Electric old'!G65)</f>
        <v/>
      </c>
      <c r="D65" s="349" t="s">
        <v>112</v>
      </c>
      <c r="E65" s="348">
        <f>IF(ISBLANK('Water Old'!G65),"-",'Water Old'!G65)</f>
        <v/>
      </c>
      <c r="F65" s="349" t="s">
        <v>112</v>
      </c>
      <c r="G65" s="349" t="s">
        <v>112</v>
      </c>
    </row>
    <row r="66" spans="1:15">
      <c r="B66" s="59">
        <f>B54</f>
        <v/>
      </c>
      <c r="C66" s="348">
        <f>IF(ISBLANK('Electric old'!G66),"-",'Electric old'!G66)</f>
        <v/>
      </c>
      <c r="D66" s="349" t="s">
        <v>112</v>
      </c>
      <c r="E66" s="348">
        <f>IF(ISBLANK('Water Old'!G66),"-",'Water Old'!G66)</f>
        <v/>
      </c>
      <c r="F66" s="348">
        <f>SUM(C66:E66)</f>
        <v/>
      </c>
      <c r="G66" s="350">
        <f>F66</f>
        <v/>
      </c>
    </row>
    <row r="67" spans="1:15">
      <c r="B67" s="59">
        <f>B55</f>
        <v/>
      </c>
      <c r="C67" s="348">
        <f>IF(ISBLANK('Electric old'!G67),"-",'Electric old'!G67)</f>
        <v/>
      </c>
      <c r="D67" s="348">
        <f>IF(ISBLANK(2/24*('Gas Old'!$H$4+'Gas Old'!$H$13)),"-",2/24*('Gas Old'!$H$4+'Gas Old'!$H$13))</f>
        <v/>
      </c>
      <c r="E67" s="348">
        <f>IF(ISBLANK('Water Old'!G67),"-",'Water Old'!G67)</f>
        <v/>
      </c>
      <c r="F67" s="348">
        <f>SUM(C67:E67)</f>
        <v/>
      </c>
      <c r="G67" s="350">
        <f>F67+G66</f>
        <v/>
      </c>
    </row>
    <row r="68" spans="1:15">
      <c r="B68" s="59">
        <f>B56</f>
        <v/>
      </c>
      <c r="C68" s="348">
        <f>IF(ISBLANK('Electric old'!G68),"-",'Electric old'!G68)</f>
        <v/>
      </c>
      <c r="D68" s="348">
        <f>IF(ISBLANK(2/24*('Gas Old'!$H$5+'Gas Old'!$H$14)),"-",2/24*('Gas Old'!$H$5+'Gas Old'!$H$14))</f>
        <v/>
      </c>
      <c r="E68" s="348">
        <f>IF(ISBLANK('Water Old'!G68),"-",'Water Old'!G68)</f>
        <v/>
      </c>
      <c r="F68" s="348">
        <f>SUM(C68:E68)</f>
        <v/>
      </c>
      <c r="G68" s="350">
        <f>F68+G67</f>
        <v/>
      </c>
    </row>
    <row r="69" spans="1:15">
      <c r="B69" s="59">
        <f>B57</f>
        <v/>
      </c>
      <c r="C69" s="348">
        <f>IF(ISBLANK('Electric old'!G69),"-",'Electric old'!G69)</f>
        <v/>
      </c>
      <c r="D69" s="348">
        <f>IF(ISBLANK(2/24*('Gas Old'!$H$6+'Gas Old'!$H$15)),"-",2/24*('Gas Old'!$H$6+'Gas Old'!$H$15))</f>
        <v/>
      </c>
      <c r="E69" s="348">
        <f>IF(ISBLANK('Water Old'!G69),"-",'Water Old'!G69)</f>
        <v/>
      </c>
      <c r="F69" s="348">
        <f>SUM(C69:E69)</f>
        <v/>
      </c>
      <c r="G69" s="350">
        <f>F69+G68</f>
        <v/>
      </c>
    </row>
    <row r="70" spans="1:15">
      <c r="B70" s="59">
        <f>B58</f>
        <v/>
      </c>
      <c r="C70" s="348">
        <f>IF(ISBLANK('Electric old'!G70),"-",'Electric old'!G70)</f>
        <v/>
      </c>
      <c r="D70" s="348">
        <f>IF(ISBLANK(2/24*('Gas Old'!$H$7+'Gas Old'!$H$16)),"-",2/24*('Gas Old'!$H$7+'Gas Old'!$H$16))</f>
        <v/>
      </c>
      <c r="E70" s="348">
        <f>IF(ISBLANK('Water Old'!G70),"-",'Water Old'!G70)</f>
        <v/>
      </c>
      <c r="F70" s="348">
        <f>SUM(C70:E70)</f>
        <v/>
      </c>
      <c r="G70" s="350">
        <f>F70+G69</f>
        <v/>
      </c>
    </row>
    <row r="71" spans="1:15">
      <c r="B71" s="59">
        <f>B59</f>
        <v/>
      </c>
      <c r="C71" s="348">
        <f>IF(ISBLANK('Electric old'!G71),"-",'Electric old'!G71)</f>
        <v/>
      </c>
      <c r="D71" s="348">
        <f>IF(ISBLANK(2/24*('Gas Old'!$H$8+'Gas Old'!$H$17)),"-",2/24*('Gas Old'!$H$8+'Gas Old'!$H$17))</f>
        <v/>
      </c>
      <c r="E71" s="348">
        <f>IF(ISBLANK('Water Old'!G71),"-",'Water Old'!G71)</f>
        <v/>
      </c>
      <c r="F71" s="348">
        <f>SUM(C71:E71)</f>
        <v/>
      </c>
      <c r="G71" s="350">
        <f>F71+G70</f>
        <v/>
      </c>
    </row>
    <row r="72" spans="1:15">
      <c r="B72" s="59">
        <f>B60</f>
        <v/>
      </c>
      <c r="C72" s="348">
        <f>IF(ISBLANK('Electric old'!G72),"-",'Electric old'!G72)</f>
        <v/>
      </c>
      <c r="D72" s="348">
        <f>IF(ISBLANK(2/24*('Gas Old'!$H9+'Gas Old'!$H18)),"-",2/24*('Gas Old'!$H9+'Gas Old'!$H18))</f>
        <v/>
      </c>
      <c r="E72" s="348">
        <f>IF(ISBLANK('Water Old'!G72),"-",'Water Old'!G72)</f>
        <v/>
      </c>
      <c r="F72" s="348">
        <f>SUM(C72:E72)</f>
        <v/>
      </c>
      <c r="G72" s="350">
        <f>F72+G71</f>
        <v/>
      </c>
    </row>
    <row r="73" spans="1:15">
      <c r="B73" s="59">
        <f>B61</f>
        <v/>
      </c>
      <c r="C73" s="348">
        <f>IF(ISBLANK('Electric old'!G73),"-",'Electric old'!G73)</f>
        <v/>
      </c>
      <c r="D73" s="348">
        <f>IF(ISBLANK(2/24*('Gas Old'!$H10+'Gas Old'!$H19)),"-",2/24*('Gas Old'!$H10+'Gas Old'!$H19))</f>
        <v/>
      </c>
      <c r="E73" s="348">
        <f>IF(ISBLANK('Water Old'!G73),"-",'Water Old'!G73)</f>
        <v/>
      </c>
      <c r="F73" s="348">
        <f>SUM(C73:E73)</f>
        <v/>
      </c>
      <c r="G73" s="350">
        <f>F73+G72</f>
        <v/>
      </c>
    </row>
    <row r="74" spans="1:15">
      <c r="B74" s="59">
        <f>B62</f>
        <v/>
      </c>
      <c r="C74" s="348">
        <f>IF(ISBLANK('Electric old'!G74),"-",'Electric old'!G74)</f>
        <v/>
      </c>
      <c r="D74" s="348">
        <f>IF(ISBLANK(2/24*('Gas Old'!$H11+'Gas Old'!$H20)),"-",2/24*('Gas Old'!$H11+'Gas Old'!$H20))</f>
        <v/>
      </c>
      <c r="E74" s="348">
        <f>IF(ISBLANK('Water Old'!G74),"-",'Water Old'!G74)</f>
        <v/>
      </c>
      <c r="F74" s="348">
        <f>SUM(C74:E74)</f>
        <v/>
      </c>
      <c r="G74" s="350">
        <f>F74+G73</f>
        <v/>
      </c>
    </row>
    <row r="75" spans="1:15">
      <c r="B75" s="59">
        <f>B63</f>
        <v/>
      </c>
      <c r="C75" s="348">
        <f>IF(ISBLANK('Electric old'!G75),"-",'Electric old'!G75)</f>
        <v/>
      </c>
      <c r="D75" s="348">
        <f>IF(ISBLANK(2/24*('Gas Old'!$H12+'Gas Old'!$H21)),"-",2/24*('Gas Old'!$H12+'Gas Old'!$H21))</f>
        <v/>
      </c>
      <c r="E75" s="348">
        <f>IF(ISBLANK('Water Old'!G75),"-",'Water Old'!G75)</f>
        <v/>
      </c>
      <c r="F75" s="348">
        <f>SUM(C75:E75)</f>
        <v/>
      </c>
      <c r="G75" s="350">
        <f>F75+G74</f>
        <v/>
      </c>
    </row>
    <row r="76" spans="1:15">
      <c r="A76" s="283" t="s">
        <v>17</v>
      </c>
      <c r="B76" s="59">
        <f>B64</f>
        <v/>
      </c>
      <c r="C76" s="348">
        <f>IF(ISBLANK('Electric old'!G76),"-",'Electric old'!G76)</f>
        <v/>
      </c>
      <c r="D76" s="349" t="s">
        <v>112</v>
      </c>
      <c r="E76" s="348">
        <f>IF(ISBLANK('Water Old'!G76),"-",'Water Old'!G76)</f>
        <v/>
      </c>
      <c r="F76" s="349" t="s">
        <v>112</v>
      </c>
      <c r="G76" s="349" t="s">
        <v>112</v>
      </c>
    </row>
    <row r="77" spans="1:15">
      <c r="B77" s="59">
        <f>B65</f>
        <v/>
      </c>
      <c r="C77" s="348">
        <f>IF(ISBLANK('Electric old'!G77),"-",'Electric old'!G77)</f>
        <v/>
      </c>
      <c r="D77" s="349" t="s">
        <v>112</v>
      </c>
      <c r="E77" s="348">
        <f>IF(ISBLANK('Water Old'!G77),"-",'Water Old'!G77)</f>
        <v/>
      </c>
      <c r="F77" s="349" t="s">
        <v>112</v>
      </c>
      <c r="G77" s="349" t="s">
        <v>112</v>
      </c>
    </row>
    <row r="78" spans="1:15">
      <c r="B78" s="59">
        <f>B66</f>
        <v/>
      </c>
      <c r="C78" s="348">
        <f>IF(ISBLANK('Electric old'!G78),"-",'Electric old'!G78)</f>
        <v/>
      </c>
      <c r="D78" s="349" t="s">
        <v>112</v>
      </c>
      <c r="E78" s="348">
        <f>IF(ISBLANK('Water Old'!G78),"-",'Water Old'!G78)</f>
        <v/>
      </c>
      <c r="F78" s="348">
        <f>SUM(C78:E78)</f>
        <v/>
      </c>
      <c r="G78" s="350">
        <f>F78</f>
        <v/>
      </c>
    </row>
    <row r="79" spans="1:15">
      <c r="B79" s="59">
        <f>B67</f>
        <v/>
      </c>
      <c r="C79" s="348">
        <f>IF(ISBLANK('Electric old'!G79),"-",'Electric old'!G79)</f>
        <v/>
      </c>
      <c r="D79" s="348">
        <f>IF(ISBLANK(1/24*('Gas Old'!$H$4+'Gas Old'!$H$13)),"-",1/24*('Gas Old'!$H$4+'Gas Old'!$H$13))</f>
        <v/>
      </c>
      <c r="E79" s="348">
        <f>IF(ISBLANK('Water Old'!G79),"-",'Water Old'!G79)</f>
        <v/>
      </c>
      <c r="F79" s="348">
        <f>SUM(C79:E79)</f>
        <v/>
      </c>
      <c r="G79" s="350">
        <f>F79+G78</f>
        <v/>
      </c>
    </row>
    <row r="80" spans="1:15">
      <c r="B80" s="59">
        <f>B68</f>
        <v/>
      </c>
      <c r="C80" s="348">
        <f>IF(ISBLANK('Electric old'!G80),"-",'Electric old'!G80)</f>
        <v/>
      </c>
      <c r="D80" s="348">
        <f>IF(ISBLANK(1/24*('Gas Old'!$H$5+'Gas Old'!$H$14)),"-",1/24*('Gas Old'!$H$5+'Gas Old'!$H$14))</f>
        <v/>
      </c>
      <c r="E80" s="348">
        <f>IF(ISBLANK('Water Old'!G80),"-",'Water Old'!G80)</f>
        <v/>
      </c>
      <c r="F80" s="348">
        <f>SUM(C80:E80)</f>
        <v/>
      </c>
      <c r="G80" s="350">
        <f>F80+G79</f>
        <v/>
      </c>
    </row>
    <row r="81" spans="1:15">
      <c r="B81" s="59">
        <f>B69</f>
        <v/>
      </c>
      <c r="C81" s="348">
        <f>IF(ISBLANK('Electric old'!G81),"-",'Electric old'!G81)</f>
        <v/>
      </c>
      <c r="D81" s="348">
        <f>IF(ISBLANK(1/24*('Gas Old'!$H$6+'Gas Old'!$H$15)),"-",1/24*('Gas Old'!$H$6+'Gas Old'!$H$15))</f>
        <v/>
      </c>
      <c r="E81" s="348">
        <f>IF(ISBLANK('Water Old'!G81),"-",'Water Old'!G81)</f>
        <v/>
      </c>
      <c r="F81" s="348">
        <f>SUM(C81:E81)</f>
        <v/>
      </c>
      <c r="G81" s="350">
        <f>F81+G80</f>
        <v/>
      </c>
    </row>
    <row r="82" spans="1:15">
      <c r="B82" s="59">
        <f>B70</f>
        <v/>
      </c>
      <c r="C82" s="348">
        <f>IF(ISBLANK('Electric old'!G82),"-",'Electric old'!G82)</f>
        <v/>
      </c>
      <c r="D82" s="348">
        <f>IF(ISBLANK(1/24*('Gas Old'!$H$7+'Gas Old'!$H$16)),"-",1/24*('Gas Old'!$H$7+'Gas Old'!$H$16))</f>
        <v/>
      </c>
      <c r="E82" s="348">
        <f>IF(ISBLANK('Water Old'!G82),"-",'Water Old'!G82)</f>
        <v/>
      </c>
      <c r="F82" s="348">
        <f>SUM(C82:E82)</f>
        <v/>
      </c>
      <c r="G82" s="350">
        <f>F82+G81</f>
        <v/>
      </c>
    </row>
    <row r="83" spans="1:15">
      <c r="B83" s="59">
        <f>B71</f>
        <v/>
      </c>
      <c r="C83" s="348">
        <f>IF(ISBLANK('Electric old'!G83),"-",'Electric old'!G83)</f>
        <v/>
      </c>
      <c r="D83" s="348">
        <f>IF(ISBLANK(1/24*('Gas Old'!$H$8+'Gas Old'!$H$17)),"-",1/24*('Gas Old'!$H$8+'Gas Old'!$H$17))</f>
        <v/>
      </c>
      <c r="E83" s="348">
        <f>IF(ISBLANK('Water Old'!G83),"-",'Water Old'!G83)</f>
        <v/>
      </c>
      <c r="F83" s="348">
        <f>SUM(C83:E83)</f>
        <v/>
      </c>
      <c r="G83" s="350">
        <f>F83+G82</f>
        <v/>
      </c>
    </row>
    <row r="84" spans="1:15">
      <c r="B84" s="59">
        <f>B72</f>
        <v/>
      </c>
      <c r="C84" s="348">
        <f>IF(ISBLANK('Electric old'!G84),"-",'Electric old'!G84)</f>
        <v/>
      </c>
      <c r="D84" s="348">
        <f>IF(ISBLANK(1/24*('Gas Old'!$H9+'Gas Old'!$H18)),"-",1/24*('Gas Old'!$H9+'Gas Old'!$H18))</f>
        <v/>
      </c>
      <c r="E84" s="348">
        <f>IF(ISBLANK('Water Old'!G84),"-",'Water Old'!G84)</f>
        <v/>
      </c>
      <c r="F84" s="348">
        <f>SUM(C84:E84)</f>
        <v/>
      </c>
      <c r="G84" s="350">
        <f>F84+G83</f>
        <v/>
      </c>
    </row>
    <row r="85" spans="1:15">
      <c r="B85" s="59">
        <f>B73</f>
        <v/>
      </c>
      <c r="C85" s="348">
        <f>IF(ISBLANK('Electric old'!G85),"-",'Electric old'!G85)</f>
        <v/>
      </c>
      <c r="D85" s="348">
        <f>IF(ISBLANK(1/24*('Gas Old'!$H10+'Gas Old'!$H19)),"-",1/24*('Gas Old'!$H10+'Gas Old'!$H19))</f>
        <v/>
      </c>
      <c r="E85" s="348">
        <f>IF(ISBLANK('Water Old'!G85),"-",'Water Old'!G85)</f>
        <v/>
      </c>
      <c r="F85" s="348">
        <f>SUM(C85:E85)</f>
        <v/>
      </c>
      <c r="G85" s="350">
        <f>F85+G84</f>
        <v/>
      </c>
    </row>
    <row r="86" spans="1:15">
      <c r="B86" s="59">
        <f>B74</f>
        <v/>
      </c>
      <c r="C86" s="348">
        <f>IF(ISBLANK('Electric old'!G86),"-",'Electric old'!G86)</f>
        <v/>
      </c>
      <c r="D86" s="348">
        <f>IF(ISBLANK(1/24*('Gas Old'!$H11+'Gas Old'!$H20)),"-",1/24*('Gas Old'!$H11+'Gas Old'!$H20))</f>
        <v/>
      </c>
      <c r="E86" s="348">
        <f>IF(ISBLANK('Water Old'!G86),"-",'Water Old'!G86)</f>
        <v/>
      </c>
      <c r="F86" s="348">
        <f>SUM(C86:E86)</f>
        <v/>
      </c>
      <c r="G86" s="350">
        <f>F86+G85</f>
        <v/>
      </c>
    </row>
    <row r="87" spans="1:15">
      <c r="B87" s="59">
        <f>B75</f>
        <v/>
      </c>
      <c r="C87" s="348">
        <f>IF(ISBLANK('Electric old'!G87),"-",'Electric old'!G87)</f>
        <v/>
      </c>
      <c r="D87" s="348">
        <f>IF(ISBLANK(1/24*('Gas Old'!$H12+'Gas Old'!$H21)),"-",1/24*('Gas Old'!$H12+'Gas Old'!$H21))</f>
        <v/>
      </c>
      <c r="E87" s="348">
        <f>IF(ISBLANK('Water Old'!G87),"-",'Water Old'!G87)</f>
        <v/>
      </c>
      <c r="F87" s="348">
        <f>SUM(C87:E87)</f>
        <v/>
      </c>
      <c r="G87" s="350">
        <f>F87+G86</f>
        <v/>
      </c>
    </row>
    <row r="88" spans="1:15">
      <c r="A88" s="283" t="s">
        <v>94</v>
      </c>
      <c r="B88" s="59">
        <f>B76</f>
        <v/>
      </c>
      <c r="C88" s="348">
        <f>IF(ISBLANK('Electric old'!G88),"-",'Electric old'!G88)</f>
        <v/>
      </c>
      <c r="D88" s="349" t="s">
        <v>112</v>
      </c>
      <c r="E88" s="348">
        <f>IF(ISBLANK('Water Old'!G88),"-",'Water Old'!G88)</f>
        <v/>
      </c>
      <c r="F88" s="349" t="s">
        <v>112</v>
      </c>
      <c r="G88" s="349" t="s">
        <v>112</v>
      </c>
    </row>
    <row r="89" spans="1:15">
      <c r="B89" s="59">
        <f>B77</f>
        <v/>
      </c>
      <c r="C89" s="348">
        <f>IF(ISBLANK('Electric old'!G89),"-",'Electric old'!G89)</f>
        <v/>
      </c>
      <c r="D89" s="349" t="s">
        <v>112</v>
      </c>
      <c r="E89" s="348">
        <f>IF(ISBLANK('Water Old'!G89),"-",'Water Old'!G89)</f>
        <v/>
      </c>
      <c r="F89" s="349" t="s">
        <v>112</v>
      </c>
      <c r="G89" s="349" t="s">
        <v>112</v>
      </c>
    </row>
    <row r="90" spans="1:15">
      <c r="B90" s="59">
        <f>B78</f>
        <v/>
      </c>
      <c r="C90" s="348">
        <f>IF(ISBLANK('Electric old'!G90),"-",'Electric old'!G90)</f>
        <v/>
      </c>
      <c r="D90" s="349" t="s">
        <v>112</v>
      </c>
      <c r="E90" s="348">
        <f>IF(ISBLANK('Water Old'!G90),"-",'Water Old'!G90)</f>
        <v/>
      </c>
      <c r="F90" s="348">
        <f>SUM(C90:E90)</f>
        <v/>
      </c>
      <c r="G90" s="350">
        <f>F90</f>
        <v/>
      </c>
    </row>
    <row r="91" spans="1:15">
      <c r="B91" s="59">
        <f>B79</f>
        <v/>
      </c>
      <c r="C91" s="348">
        <f>IF(ISBLANK('Electric old'!G91),"-",'Electric old'!G91)</f>
        <v/>
      </c>
      <c r="D91" s="348">
        <f>IF(ISBLANK(2/24*('Gas Old'!$H$4+'Gas Old'!$H$13)),"-",2/24*('Gas Old'!$H$4+'Gas Old'!$H$13))</f>
        <v/>
      </c>
      <c r="E91" s="348">
        <f>IF(ISBLANK('Water Old'!G91),"-",'Water Old'!G91)</f>
        <v/>
      </c>
      <c r="F91" s="348">
        <f>SUM(C91:E91)</f>
        <v/>
      </c>
      <c r="G91" s="350">
        <f>F91+G90</f>
        <v/>
      </c>
    </row>
    <row r="92" spans="1:15">
      <c r="B92" s="59">
        <f>B80</f>
        <v/>
      </c>
      <c r="C92" s="348">
        <f>IF(ISBLANK('Electric old'!G92),"-",'Electric old'!G92)</f>
        <v/>
      </c>
      <c r="D92" s="348">
        <f>IF(ISBLANK(2/24*('Gas Old'!$H$5+'Gas Old'!$H$14)),"-",2/24*('Gas Old'!$H$5+'Gas Old'!$H$14))</f>
        <v/>
      </c>
      <c r="E92" s="348">
        <f>IF(ISBLANK('Water Old'!G92),"-",'Water Old'!G92)</f>
        <v/>
      </c>
      <c r="F92" s="348">
        <f>SUM(C92:E92)</f>
        <v/>
      </c>
      <c r="G92" s="350">
        <f>F92+G91</f>
        <v/>
      </c>
    </row>
    <row r="93" spans="1:15">
      <c r="B93" s="59">
        <f>B81</f>
        <v/>
      </c>
      <c r="C93" s="348">
        <f>IF(ISBLANK('Electric old'!G93),"-",'Electric old'!G93)</f>
        <v/>
      </c>
      <c r="D93" s="348">
        <f>IF(ISBLANK(2/24*('Gas Old'!$H$6+'Gas Old'!$H$15)),"-",2/24*('Gas Old'!$H$6+'Gas Old'!$H$15))</f>
        <v/>
      </c>
      <c r="E93" s="348">
        <f>IF(ISBLANK('Water Old'!G93),"-",'Water Old'!G93)</f>
        <v/>
      </c>
      <c r="F93" s="348">
        <f>SUM(C93:E93)</f>
        <v/>
      </c>
      <c r="G93" s="350">
        <f>F93+G92</f>
        <v/>
      </c>
    </row>
    <row r="94" spans="1:15">
      <c r="B94" s="59">
        <f>B82</f>
        <v/>
      </c>
      <c r="C94" s="348">
        <f>IF(ISBLANK('Electric old'!G94),"-",'Electric old'!G94)</f>
        <v/>
      </c>
      <c r="D94" s="348">
        <f>IF(ISBLANK(2/24*('Gas Old'!$H$7+'Gas Old'!$H$16)),"-",2/24*('Gas Old'!$H$7+'Gas Old'!$H$16))</f>
        <v/>
      </c>
      <c r="E94" s="348">
        <f>IF(ISBLANK('Water Old'!G94),"-",'Water Old'!G94)</f>
        <v/>
      </c>
      <c r="F94" s="348">
        <f>SUM(C94:E94)</f>
        <v/>
      </c>
      <c r="G94" s="350">
        <f>F94+G93</f>
        <v/>
      </c>
    </row>
    <row r="95" spans="1:15">
      <c r="B95" s="59">
        <f>B83</f>
        <v/>
      </c>
      <c r="C95" s="348">
        <f>IF(ISBLANK('Electric old'!G95),"-",'Electric old'!G95)</f>
        <v/>
      </c>
      <c r="D95" s="348">
        <f>IF(ISBLANK(2/24*('Gas Old'!$H$8+'Gas Old'!$H$17)),"-",2/24*('Gas Old'!$H$8+'Gas Old'!$H$17))</f>
        <v/>
      </c>
      <c r="E95" s="348">
        <f>IF(ISBLANK('Water Old'!G95),"-",'Water Old'!G95)</f>
        <v/>
      </c>
      <c r="F95" s="348">
        <f>SUM(C95:E95)</f>
        <v/>
      </c>
      <c r="G95" s="350">
        <f>F95+G94</f>
        <v/>
      </c>
    </row>
    <row r="96" spans="1:15">
      <c r="B96" s="59">
        <f>B84</f>
        <v/>
      </c>
      <c r="C96" s="348">
        <f>IF(ISBLANK('Electric old'!G96),"-",'Electric old'!G96)</f>
        <v/>
      </c>
      <c r="D96" s="348">
        <f>IF(ISBLANK(2/24*('Gas Old'!$H9+'Gas Old'!$H18)),"-",2/24*('Gas Old'!$H9+'Gas Old'!$H18))</f>
        <v/>
      </c>
      <c r="E96" s="348">
        <f>IF(ISBLANK('Water Old'!G96),"-",'Water Old'!G96)</f>
        <v/>
      </c>
      <c r="F96" s="348">
        <f>SUM(C96:E96)</f>
        <v/>
      </c>
      <c r="G96" s="350">
        <f>F96+G95</f>
        <v/>
      </c>
    </row>
    <row r="97" spans="1:15">
      <c r="B97" s="59">
        <f>B85</f>
        <v/>
      </c>
      <c r="C97" s="348">
        <f>IF(ISBLANK('Electric old'!G97),"-",'Electric old'!G97)</f>
        <v/>
      </c>
      <c r="D97" s="348">
        <f>IF(ISBLANK(2/24*('Gas Old'!$H10+'Gas Old'!$H19)),"-",2/24*('Gas Old'!$H10+'Gas Old'!$H19))</f>
        <v/>
      </c>
      <c r="E97" s="348">
        <f>IF(ISBLANK('Water Old'!G97),"-",'Water Old'!G97)</f>
        <v/>
      </c>
      <c r="F97" s="348">
        <f>SUM(C97:E97)</f>
        <v/>
      </c>
      <c r="G97" s="350">
        <f>F97+G96</f>
        <v/>
      </c>
    </row>
    <row r="98" spans="1:15">
      <c r="B98" s="59">
        <f>B86</f>
        <v/>
      </c>
      <c r="C98" s="348">
        <f>IF(ISBLANK('Electric old'!G98),"-",'Electric old'!G98)</f>
        <v/>
      </c>
      <c r="D98" s="348">
        <f>IF(ISBLANK(2/24*('Gas Old'!$H11+'Gas Old'!$H20)),"-",2/24*('Gas Old'!$H11+'Gas Old'!$H20))</f>
        <v/>
      </c>
      <c r="E98" s="348">
        <f>IF(ISBLANK('Water Old'!G98),"-",'Water Old'!G98)</f>
        <v/>
      </c>
      <c r="F98" s="348">
        <f>SUM(C98:E98)</f>
        <v/>
      </c>
      <c r="G98" s="350">
        <f>F98+G97</f>
        <v/>
      </c>
    </row>
    <row r="99" spans="1:15">
      <c r="B99" s="59">
        <f>B87</f>
        <v/>
      </c>
      <c r="C99" s="348">
        <f>IF(ISBLANK('Electric old'!G99),"-",'Electric old'!G99)</f>
        <v/>
      </c>
      <c r="D99" s="348">
        <f>IF(ISBLANK(2/24*('Gas Old'!$H12+'Gas Old'!$H21)),"-",2/24*('Gas Old'!$H12+'Gas Old'!$H21))</f>
        <v/>
      </c>
      <c r="E99" s="348">
        <f>IF(ISBLANK('Water Old'!G99),"-",'Water Old'!G99)</f>
        <v/>
      </c>
      <c r="F99" s="348">
        <f>SUM(C99:E99)</f>
        <v/>
      </c>
      <c r="G99" s="350">
        <f>F99+G98</f>
        <v/>
      </c>
    </row>
    <row r="100" spans="1:15">
      <c r="A100" s="283" t="s">
        <v>95</v>
      </c>
      <c r="B100" s="59">
        <f>B88</f>
        <v/>
      </c>
      <c r="C100" s="348">
        <f>IF(ISBLANK('Electric old'!G100),"-",'Electric old'!G100)</f>
        <v/>
      </c>
      <c r="D100" s="349" t="s">
        <v>112</v>
      </c>
      <c r="E100" s="348">
        <f>IF(ISBLANK('Water Old'!G100),"-",'Water Old'!G100)</f>
        <v/>
      </c>
      <c r="F100" s="349" t="s">
        <v>112</v>
      </c>
      <c r="G100" s="349" t="s">
        <v>112</v>
      </c>
    </row>
    <row r="101" spans="1:15">
      <c r="B101" s="59">
        <f>B89</f>
        <v/>
      </c>
      <c r="C101" s="348">
        <f>IF(ISBLANK('Electric old'!G101),"-",'Electric old'!G101)</f>
        <v/>
      </c>
      <c r="D101" s="349" t="s">
        <v>112</v>
      </c>
      <c r="E101" s="348">
        <f>IF(ISBLANK('Water Old'!G101),"-",'Water Old'!G101)</f>
        <v/>
      </c>
      <c r="F101" s="349" t="s">
        <v>112</v>
      </c>
      <c r="G101" s="349" t="s">
        <v>112</v>
      </c>
    </row>
    <row r="102" spans="1:15">
      <c r="B102" s="59">
        <f>B90</f>
        <v/>
      </c>
      <c r="C102" s="348">
        <f>IF(ISBLANK('Electric old'!G102),"-",'Electric old'!G102)</f>
        <v/>
      </c>
      <c r="D102" s="349" t="s">
        <v>112</v>
      </c>
      <c r="E102" s="348">
        <f>IF(ISBLANK('Water Old'!G102),"-",'Water Old'!G102)</f>
        <v/>
      </c>
      <c r="F102" s="348">
        <f>SUM(C102:E102)</f>
        <v/>
      </c>
      <c r="G102" s="350">
        <f>F102</f>
        <v/>
      </c>
    </row>
    <row r="103" spans="1:15">
      <c r="B103" s="59">
        <f>B91</f>
        <v/>
      </c>
      <c r="C103" s="348">
        <f>IF(ISBLANK('Electric old'!G103),"-",'Electric old'!G103)</f>
        <v/>
      </c>
      <c r="D103" s="348">
        <f>IF(ISBLANK(1/24*('Gas Old'!$H$4+'Gas Old'!$H$13)),"-",1/24*('Gas Old'!$H$4+'Gas Old'!$H$13))</f>
        <v/>
      </c>
      <c r="E103" s="348">
        <f>IF(ISBLANK('Water Old'!G103),"-",'Water Old'!G103)</f>
        <v/>
      </c>
      <c r="F103" s="348">
        <f>SUM(C103:E103)</f>
        <v/>
      </c>
      <c r="G103" s="350">
        <f>F103+G102</f>
        <v/>
      </c>
    </row>
    <row r="104" spans="1:15">
      <c r="B104" s="59">
        <f>B92</f>
        <v/>
      </c>
      <c r="C104" s="348">
        <f>IF(ISBLANK('Electric old'!G104),"-",'Electric old'!G104)</f>
        <v/>
      </c>
      <c r="D104" s="348">
        <f>IF(ISBLANK(1/24*('Gas Old'!$H$5+'Gas Old'!$H$14)),"-",1/24*('Gas Old'!$H$5+'Gas Old'!$H$14))</f>
        <v/>
      </c>
      <c r="E104" s="348">
        <f>IF(ISBLANK('Water Old'!G104),"-",'Water Old'!G104)</f>
        <v/>
      </c>
      <c r="F104" s="348">
        <f>SUM(C104:E104)</f>
        <v/>
      </c>
      <c r="G104" s="350">
        <f>F104+G103</f>
        <v/>
      </c>
    </row>
    <row r="105" spans="1:15">
      <c r="B105" s="59">
        <f>B93</f>
        <v/>
      </c>
      <c r="C105" s="348">
        <f>IF(ISBLANK('Electric old'!G105),"-",'Electric old'!G105)</f>
        <v/>
      </c>
      <c r="D105" s="348">
        <f>IF(ISBLANK(1/24*('Gas Old'!$H$6+'Gas Old'!$H$15)),"-",1/24*('Gas Old'!$H$6+'Gas Old'!$H$15))</f>
        <v/>
      </c>
      <c r="E105" s="348">
        <f>IF(ISBLANK('Water Old'!G105),"-",'Water Old'!G105)</f>
        <v/>
      </c>
      <c r="F105" s="348">
        <f>SUM(C105:E105)</f>
        <v/>
      </c>
      <c r="G105" s="350">
        <f>F105+G104</f>
        <v/>
      </c>
    </row>
    <row r="106" spans="1:15">
      <c r="B106" s="59">
        <f>B94</f>
        <v/>
      </c>
      <c r="C106" s="348">
        <f>IF(ISBLANK('Electric old'!G106),"-",'Electric old'!G106)</f>
        <v/>
      </c>
      <c r="D106" s="348">
        <f>IF(ISBLANK(1/24*('Gas Old'!$H$7+'Gas Old'!$H$16)),"-",1/24*('Gas Old'!$H$7+'Gas Old'!$H$16))</f>
        <v/>
      </c>
      <c r="E106" s="348">
        <f>IF(ISBLANK('Water Old'!G106),"-",'Water Old'!G106)</f>
        <v/>
      </c>
      <c r="F106" s="348">
        <f>SUM(C106:E106)</f>
        <v/>
      </c>
      <c r="G106" s="350">
        <f>F106+G105</f>
        <v/>
      </c>
    </row>
    <row r="107" spans="1:15">
      <c r="B107" s="59">
        <f>B95</f>
        <v/>
      </c>
      <c r="C107" s="348">
        <f>IF(ISBLANK('Electric old'!G107),"-",'Electric old'!G107)</f>
        <v/>
      </c>
      <c r="D107" s="348">
        <f>IF(ISBLANK(1/24*('Gas Old'!$H$8+'Gas Old'!$H$17)),"-",1/24*('Gas Old'!$H$8+'Gas Old'!$H$17))</f>
        <v/>
      </c>
      <c r="E107" s="348">
        <f>IF(ISBLANK('Water Old'!G107),"-",'Water Old'!G107)</f>
        <v/>
      </c>
      <c r="F107" s="348">
        <f>SUM(C107:E107)</f>
        <v/>
      </c>
      <c r="G107" s="350">
        <f>F107+G106</f>
        <v/>
      </c>
    </row>
    <row r="108" spans="1:15">
      <c r="B108" s="59">
        <f>B96</f>
        <v/>
      </c>
      <c r="C108" s="348">
        <f>IF(ISBLANK('Electric old'!G108),"-",'Electric old'!G108)</f>
        <v/>
      </c>
      <c r="D108" s="348">
        <f>IF(ISBLANK(1/24*('Gas Old'!$H9+'Gas Old'!$H18)),"-",1/24*('Gas Old'!$H9+'Gas Old'!$H18))</f>
        <v/>
      </c>
      <c r="E108" s="348">
        <f>IF(ISBLANK('Water Old'!G108),"-",'Water Old'!G108)</f>
        <v/>
      </c>
      <c r="F108" s="348">
        <f>SUM(C108:E108)</f>
        <v/>
      </c>
      <c r="G108" s="350">
        <f>F108+G107</f>
        <v/>
      </c>
    </row>
    <row r="109" spans="1:15">
      <c r="B109" s="59">
        <f>B97</f>
        <v/>
      </c>
      <c r="C109" s="348">
        <f>IF(ISBLANK('Electric old'!G109),"-",'Electric old'!G109)</f>
        <v/>
      </c>
      <c r="D109" s="348">
        <f>IF(ISBLANK(1/24*('Gas Old'!$H10+'Gas Old'!$H19)),"-",1/24*('Gas Old'!$H10+'Gas Old'!$H19))</f>
        <v/>
      </c>
      <c r="E109" s="348">
        <f>IF(ISBLANK('Water Old'!G109),"-",'Water Old'!G109)</f>
        <v/>
      </c>
      <c r="F109" s="348">
        <f>SUM(C109:E109)</f>
        <v/>
      </c>
      <c r="G109" s="350">
        <f>F109+G108</f>
        <v/>
      </c>
    </row>
    <row r="110" spans="1:15">
      <c r="B110" s="59">
        <f>B98</f>
        <v/>
      </c>
      <c r="C110" s="348">
        <f>IF(ISBLANK('Electric old'!G110),"-",'Electric old'!G110)</f>
        <v/>
      </c>
      <c r="D110" s="348">
        <f>IF(ISBLANK(1/24*('Gas Old'!$H11+'Gas Old'!$H20)),"-",1/24*('Gas Old'!$H11+'Gas Old'!$H20))</f>
        <v/>
      </c>
      <c r="E110" s="348">
        <f>IF(ISBLANK('Water Old'!G110),"-",'Water Old'!G110)</f>
        <v/>
      </c>
      <c r="F110" s="348">
        <f>SUM(C110:E110)</f>
        <v/>
      </c>
      <c r="G110" s="350">
        <f>F110+G109</f>
        <v/>
      </c>
    </row>
    <row r="111" spans="1:15">
      <c r="B111" s="59">
        <f>B99</f>
        <v/>
      </c>
      <c r="C111" s="348">
        <f>IF(ISBLANK('Electric old'!G111),"-",'Electric old'!G111)</f>
        <v/>
      </c>
      <c r="D111" s="348">
        <f>IF(ISBLANK(1/24*('Gas Old'!$H12+'Gas Old'!$H21)),"-",1/24*('Gas Old'!$H12+'Gas Old'!$H21))</f>
        <v/>
      </c>
      <c r="E111" s="348">
        <f>IF(ISBLANK('Water Old'!G111),"-",'Water Old'!G111)</f>
        <v/>
      </c>
      <c r="F111" s="348">
        <f>SUM(C111:E111)</f>
        <v/>
      </c>
      <c r="G111" s="350">
        <f>F111+G110</f>
        <v/>
      </c>
    </row>
    <row r="112" spans="1:15">
      <c r="A112" s="283" t="s">
        <v>21</v>
      </c>
      <c r="B112" s="59">
        <f>B100</f>
        <v/>
      </c>
      <c r="C112" s="348">
        <f>IF(ISBLANK('Electric old'!G112),"-",'Electric old'!G112)</f>
        <v/>
      </c>
      <c r="D112" s="349" t="s">
        <v>112</v>
      </c>
      <c r="E112" s="348">
        <f>IF(ISBLANK('Water Old'!G112),"-",'Water Old'!G112)</f>
        <v/>
      </c>
      <c r="F112" s="349" t="s">
        <v>112</v>
      </c>
      <c r="G112" s="349" t="s">
        <v>112</v>
      </c>
    </row>
    <row r="113" spans="1:15">
      <c r="B113" s="59">
        <f>B101</f>
        <v/>
      </c>
      <c r="C113" s="348">
        <f>IF(ISBLANK('Electric old'!G113),"-",'Electric old'!G113)</f>
        <v/>
      </c>
      <c r="D113" s="349" t="s">
        <v>112</v>
      </c>
      <c r="E113" s="348">
        <f>IF(ISBLANK('Water Old'!G113),"-",'Water Old'!G113)</f>
        <v/>
      </c>
      <c r="F113" s="349" t="s">
        <v>112</v>
      </c>
      <c r="G113" s="349" t="s">
        <v>112</v>
      </c>
    </row>
    <row r="114" spans="1:15">
      <c r="B114" s="59">
        <f>B102</f>
        <v/>
      </c>
      <c r="C114" s="348">
        <f>IF(ISBLANK('Electric old'!G114),"-",'Electric old'!G114)</f>
        <v/>
      </c>
      <c r="D114" s="349" t="s">
        <v>112</v>
      </c>
      <c r="E114" s="348">
        <f>IF(ISBLANK('Water Old'!G114),"-",'Water Old'!G114)</f>
        <v/>
      </c>
      <c r="F114" s="348">
        <f>SUM(C114:E114)</f>
        <v/>
      </c>
      <c r="G114" s="350">
        <f>F114</f>
        <v/>
      </c>
    </row>
    <row r="115" spans="1:15">
      <c r="B115" s="59">
        <f>B103</f>
        <v/>
      </c>
      <c r="C115" s="348">
        <f>IF(ISBLANK('Electric old'!G115),"-",'Electric old'!G115)</f>
        <v/>
      </c>
      <c r="D115" s="348">
        <f>IF(ISBLANK(2/24*('Gas Old'!$H$4+'Gas Old'!$H$13)),"-",2/24*('Gas Old'!$H$4+'Gas Old'!$H$13))</f>
        <v/>
      </c>
      <c r="E115" s="348">
        <f>IF(ISBLANK('Water Old'!G115),"-",'Water Old'!G115)</f>
        <v/>
      </c>
      <c r="F115" s="348">
        <f>SUM(C115:E115)</f>
        <v/>
      </c>
      <c r="G115" s="350">
        <f>F115+G114</f>
        <v/>
      </c>
    </row>
    <row r="116" spans="1:15">
      <c r="B116" s="59">
        <f>B104</f>
        <v/>
      </c>
      <c r="C116" s="348">
        <f>IF(ISBLANK('Electric old'!G116),"-",'Electric old'!G116)</f>
        <v/>
      </c>
      <c r="D116" s="348">
        <f>IF(ISBLANK(2/24*('Gas Old'!$H$5+'Gas Old'!$H$14)),"-",2/24*('Gas Old'!$H$5+'Gas Old'!$H$14))</f>
        <v/>
      </c>
      <c r="E116" s="348">
        <f>IF(ISBLANK('Water Old'!G116),"-",'Water Old'!G116)</f>
        <v/>
      </c>
      <c r="F116" s="348">
        <f>SUM(C116:E116)</f>
        <v/>
      </c>
      <c r="G116" s="350">
        <f>F116+G115</f>
        <v/>
      </c>
    </row>
    <row r="117" spans="1:15">
      <c r="B117" s="59">
        <f>B105</f>
        <v/>
      </c>
      <c r="C117" s="348">
        <f>IF(ISBLANK('Electric old'!G117),"-",'Electric old'!G117)</f>
        <v/>
      </c>
      <c r="D117" s="348">
        <f>IF(ISBLANK(2/24*('Gas Old'!$H$6+'Gas Old'!$H$15)),"-",2/24*('Gas Old'!$H$6+'Gas Old'!$H$15))</f>
        <v/>
      </c>
      <c r="E117" s="348">
        <f>IF(ISBLANK('Water Old'!G117),"-",'Water Old'!G117)</f>
        <v/>
      </c>
      <c r="F117" s="348">
        <f>SUM(C117:E117)</f>
        <v/>
      </c>
      <c r="G117" s="350">
        <f>F117+G116</f>
        <v/>
      </c>
    </row>
    <row r="118" spans="1:15">
      <c r="B118" s="59">
        <f>B106</f>
        <v/>
      </c>
      <c r="C118" s="348">
        <f>IF(ISBLANK('Electric old'!G118),"-",'Electric old'!G118)</f>
        <v/>
      </c>
      <c r="D118" s="348">
        <f>IF(ISBLANK(2/24*('Gas Old'!$H$7+'Gas Old'!$H$16)),"-",2/24*('Gas Old'!$H$7+'Gas Old'!$H$16))</f>
        <v/>
      </c>
      <c r="E118" s="348">
        <f>IF(ISBLANK('Water Old'!G118),"-",'Water Old'!G118)</f>
        <v/>
      </c>
      <c r="F118" s="348">
        <f>SUM(C118:E118)</f>
        <v/>
      </c>
      <c r="G118" s="350">
        <f>F118+G117</f>
        <v/>
      </c>
    </row>
    <row r="119" spans="1:15">
      <c r="B119" s="59">
        <f>B107</f>
        <v/>
      </c>
      <c r="C119" s="348">
        <f>IF(ISBLANK('Electric old'!G119),"-",'Electric old'!G119)</f>
        <v/>
      </c>
      <c r="D119" s="348">
        <f>IF(ISBLANK(2/24*('Gas Old'!$H$8+'Gas Old'!$H$17)),"-",2/24*('Gas Old'!$H$8+'Gas Old'!$H$17))</f>
        <v/>
      </c>
      <c r="E119" s="348">
        <f>IF(ISBLANK('Water Old'!G119),"-",'Water Old'!G119)</f>
        <v/>
      </c>
      <c r="F119" s="348">
        <f>SUM(C119:E119)</f>
        <v/>
      </c>
      <c r="G119" s="350">
        <f>F119+G118</f>
        <v/>
      </c>
    </row>
    <row r="120" spans="1:15">
      <c r="B120" s="59">
        <f>B108</f>
        <v/>
      </c>
      <c r="C120" s="348">
        <f>IF(ISBLANK('Electric old'!G120),"-",'Electric old'!G120)</f>
        <v/>
      </c>
      <c r="D120" s="348">
        <f>IF(ISBLANK(2/24*('Gas Old'!$H9+'Gas Old'!$H18)),"-",2/24*('Gas Old'!$H9+'Gas Old'!$H18))</f>
        <v/>
      </c>
      <c r="E120" s="348">
        <f>IF(ISBLANK('Water Old'!G120),"-",'Water Old'!G120)</f>
        <v/>
      </c>
      <c r="F120" s="348">
        <f>SUM(C120:E120)</f>
        <v/>
      </c>
      <c r="G120" s="350">
        <f>F120+G119</f>
        <v/>
      </c>
    </row>
    <row r="121" spans="1:15">
      <c r="B121" s="59">
        <f>B109</f>
        <v/>
      </c>
      <c r="C121" s="348">
        <f>IF(ISBLANK('Electric old'!G121),"-",'Electric old'!G121)</f>
        <v/>
      </c>
      <c r="D121" s="348">
        <f>IF(ISBLANK(2/24*('Gas Old'!$H10+'Gas Old'!$H19)),"-",2/24*('Gas Old'!$H10+'Gas Old'!$H19))</f>
        <v/>
      </c>
      <c r="E121" s="348">
        <f>IF(ISBLANK('Water Old'!G121),"-",'Water Old'!G121)</f>
        <v/>
      </c>
      <c r="F121" s="348">
        <f>SUM(C121:E121)</f>
        <v/>
      </c>
      <c r="G121" s="350">
        <f>F121+G120</f>
        <v/>
      </c>
    </row>
    <row r="122" spans="1:15">
      <c r="B122" s="59">
        <f>B110</f>
        <v/>
      </c>
      <c r="C122" s="348">
        <f>IF(ISBLANK('Electric old'!G122),"-",'Electric old'!G122)</f>
        <v/>
      </c>
      <c r="D122" s="348">
        <f>IF(ISBLANK(2/24*('Gas Old'!$H11+'Gas Old'!$H20)),"-",2/24*('Gas Old'!$H11+'Gas Old'!$H20))</f>
        <v/>
      </c>
      <c r="E122" s="348">
        <f>IF(ISBLANK('Water Old'!G122),"-",'Water Old'!G122)</f>
        <v/>
      </c>
      <c r="F122" s="348">
        <f>SUM(C122:E122)</f>
        <v/>
      </c>
      <c r="G122" s="350">
        <f>F122+G121</f>
        <v/>
      </c>
    </row>
    <row r="123" spans="1:15">
      <c r="B123" s="59">
        <f>B111</f>
        <v/>
      </c>
      <c r="C123" s="348">
        <f>IF(ISBLANK('Electric old'!G123),"-",'Electric old'!G123)</f>
        <v/>
      </c>
      <c r="D123" s="348">
        <f>IF(ISBLANK(2/24*('Gas Old'!$H12+'Gas Old'!$H21)),"-",2/24*('Gas Old'!$H12+'Gas Old'!$H21))</f>
        <v/>
      </c>
      <c r="E123" s="348">
        <f>IF(ISBLANK('Water Old'!G123),"-",'Water Old'!G123)</f>
        <v/>
      </c>
      <c r="F123" s="348">
        <f>SUM(C123:E123)</f>
        <v/>
      </c>
      <c r="G123" s="350">
        <f>F123+G122</f>
        <v/>
      </c>
      <c r="I123" s="62" t="n"/>
      <c r="J123" s="63" t="n"/>
      <c r="K123" s="64" t="n"/>
      <c r="L123" s="64" t="n"/>
      <c r="M123" s="66" t="n"/>
      <c r="N123" s="66" t="n"/>
      <c r="O123" s="66" t="n"/>
    </row>
    <row customHeight="1" ht="12.75" r="124" s="3" spans="1:15">
      <c r="A124" s="283" t="s">
        <v>96</v>
      </c>
      <c r="B124" s="59">
        <f>B112</f>
        <v/>
      </c>
      <c r="C124" s="348">
        <f>IF(ISBLANK('Electric old'!G124),"-",'Electric old'!G124)</f>
        <v/>
      </c>
      <c r="D124" s="349" t="s">
        <v>112</v>
      </c>
      <c r="E124" s="348">
        <f>IF(ISBLANK('Water Old'!G124),"-",'Water Old'!G124)</f>
        <v/>
      </c>
      <c r="F124" s="349" t="s">
        <v>112</v>
      </c>
      <c r="G124" s="349" t="s">
        <v>112</v>
      </c>
      <c r="J124" s="67" t="n"/>
      <c r="K124" s="352" t="n"/>
      <c r="L124" s="352" t="n"/>
      <c r="M124" s="352" t="n"/>
      <c r="N124" s="352" t="n"/>
      <c r="O124" s="352" t="n"/>
    </row>
    <row r="125" spans="1:15">
      <c r="B125" s="59">
        <f>B113</f>
        <v/>
      </c>
      <c r="C125" s="348">
        <f>IF(ISBLANK('Electric old'!G125),"-",'Electric old'!G125)</f>
        <v/>
      </c>
      <c r="D125" s="349" t="s">
        <v>112</v>
      </c>
      <c r="E125" s="348">
        <f>IF(ISBLANK('Water Old'!G125),"-",'Water Old'!G125)</f>
        <v/>
      </c>
      <c r="F125" s="349" t="s">
        <v>112</v>
      </c>
      <c r="G125" s="349" t="s">
        <v>112</v>
      </c>
      <c r="J125" s="67" t="n"/>
      <c r="K125" s="352" t="n"/>
      <c r="L125" s="352" t="n"/>
      <c r="M125" s="352" t="n"/>
      <c r="N125" s="352" t="n"/>
      <c r="O125" s="352" t="n"/>
    </row>
    <row r="126" spans="1:15">
      <c r="B126" s="59">
        <f>B114</f>
        <v/>
      </c>
      <c r="C126" s="348">
        <f>IF(ISBLANK('Electric old'!G126),"-",'Electric old'!G126)</f>
        <v/>
      </c>
      <c r="D126" s="349" t="s">
        <v>112</v>
      </c>
      <c r="E126" s="348">
        <f>IF(ISBLANK('Water Old'!G126),"-",'Water Old'!G126)</f>
        <v/>
      </c>
      <c r="F126" s="348">
        <f>SUM(C126:E126)</f>
        <v/>
      </c>
      <c r="G126" s="350">
        <f>F126</f>
        <v/>
      </c>
      <c r="J126" s="67" t="n"/>
      <c r="K126" s="352" t="n"/>
      <c r="L126" s="352" t="n"/>
      <c r="M126" s="352" t="n"/>
      <c r="N126" s="352" t="n"/>
      <c r="O126" s="352" t="n"/>
    </row>
    <row r="127" spans="1:15">
      <c r="B127" s="59">
        <f>B115</f>
        <v/>
      </c>
      <c r="C127" s="348">
        <f>IF(ISBLANK('Electric old'!G127),"-",'Electric old'!G127)</f>
        <v/>
      </c>
      <c r="D127" s="348">
        <f>IF(ISBLANK(2/24*('Gas Old'!$H$4+'Gas Old'!$H$13)),"-",2/24*('Gas Old'!$H$4+'Gas Old'!$H$13))</f>
        <v/>
      </c>
      <c r="E127" s="348">
        <f>IF(ISBLANK('Water Old'!G127),"-",'Water Old'!G127)</f>
        <v/>
      </c>
      <c r="F127" s="348">
        <f>SUM(C127:E127)</f>
        <v/>
      </c>
      <c r="G127" s="350">
        <f>F127+G126</f>
        <v/>
      </c>
      <c r="J127" s="67" t="n"/>
      <c r="K127" s="352" t="n"/>
      <c r="L127" s="352" t="n"/>
      <c r="M127" s="352" t="n"/>
      <c r="N127" s="352" t="n"/>
      <c r="O127" s="352" t="n"/>
    </row>
    <row r="128" spans="1:15">
      <c r="B128" s="59">
        <f>B116</f>
        <v/>
      </c>
      <c r="C128" s="348">
        <f>IF(ISBLANK('Electric old'!G128),"-",'Electric old'!G128)</f>
        <v/>
      </c>
      <c r="D128" s="348">
        <f>IF(ISBLANK(2/24*('Gas Old'!$H$5+'Gas Old'!$H$14)),"-",2/24*('Gas Old'!$H$5+'Gas Old'!$H$14))</f>
        <v/>
      </c>
      <c r="E128" s="348">
        <f>IF(ISBLANK('Water Old'!G128),"-",'Water Old'!G128)</f>
        <v/>
      </c>
      <c r="F128" s="348">
        <f>SUM(C128:E128)</f>
        <v/>
      </c>
      <c r="G128" s="350">
        <f>F128+G127</f>
        <v/>
      </c>
      <c r="J128" s="67" t="n"/>
      <c r="K128" s="352" t="n"/>
      <c r="L128" s="352" t="n"/>
      <c r="M128" s="352" t="n"/>
      <c r="N128" s="352" t="n"/>
      <c r="O128" s="352" t="n"/>
    </row>
    <row r="129" spans="1:15">
      <c r="B129" s="59">
        <f>B117</f>
        <v/>
      </c>
      <c r="C129" s="348">
        <f>IF(ISBLANK('Electric old'!G129),"-",'Electric old'!G129)</f>
        <v/>
      </c>
      <c r="D129" s="348">
        <f>IF(ISBLANK(2/24*('Gas Old'!$H$6+'Gas Old'!$H$15)),"-",2/24*('Gas Old'!$H$6+'Gas Old'!$H$15))</f>
        <v/>
      </c>
      <c r="E129" s="348">
        <f>IF(ISBLANK('Water Old'!G129),"-",'Water Old'!G129)</f>
        <v/>
      </c>
      <c r="F129" s="348">
        <f>SUM(C129:E129)</f>
        <v/>
      </c>
      <c r="G129" s="350">
        <f>F129+G128</f>
        <v/>
      </c>
      <c r="J129" s="67" t="n"/>
      <c r="K129" s="352" t="n"/>
      <c r="L129" s="352" t="n"/>
      <c r="M129" s="352" t="n"/>
      <c r="N129" s="352" t="n"/>
      <c r="O129" s="352" t="n"/>
    </row>
    <row r="130" spans="1:15">
      <c r="B130" s="59">
        <f>B118</f>
        <v/>
      </c>
      <c r="C130" s="348">
        <f>IF(ISBLANK('Electric old'!G130),"-",'Electric old'!G130)</f>
        <v/>
      </c>
      <c r="D130" s="348">
        <f>IF(ISBLANK(2/24*('Gas Old'!$H$7+'Gas Old'!$H$16)),"-",2/24*('Gas Old'!$H$7+'Gas Old'!$H$16))</f>
        <v/>
      </c>
      <c r="E130" s="348">
        <f>IF(ISBLANK('Water Old'!G130),"-",'Water Old'!G130)</f>
        <v/>
      </c>
      <c r="F130" s="348">
        <f>SUM(C130:E130)</f>
        <v/>
      </c>
      <c r="G130" s="350">
        <f>F130+G129</f>
        <v/>
      </c>
      <c r="J130" s="67" t="n"/>
      <c r="K130" s="352" t="n"/>
      <c r="L130" s="352" t="n"/>
      <c r="M130" s="352" t="n"/>
      <c r="N130" s="352" t="n"/>
      <c r="O130" s="352" t="n"/>
    </row>
    <row r="131" spans="1:15">
      <c r="B131" s="59">
        <f>B119</f>
        <v/>
      </c>
      <c r="C131" s="348">
        <f>IF(ISBLANK('Electric old'!G131),"-",'Electric old'!G131)</f>
        <v/>
      </c>
      <c r="D131" s="348">
        <f>IF(ISBLANK(2/24*('Gas Old'!$H$8+'Gas Old'!$H$17)),"-",2/24*('Gas Old'!$H$8+'Gas Old'!$H$17))</f>
        <v/>
      </c>
      <c r="E131" s="348">
        <f>IF(ISBLANK('Water Old'!G131),"-",'Water Old'!G131)</f>
        <v/>
      </c>
      <c r="F131" s="348">
        <f>SUM(C131:E131)</f>
        <v/>
      </c>
      <c r="G131" s="350">
        <f>F131+G130</f>
        <v/>
      </c>
      <c r="J131" s="67" t="n"/>
      <c r="K131" s="352" t="n"/>
      <c r="L131" s="352" t="n"/>
      <c r="M131" s="352" t="n"/>
      <c r="N131" s="352" t="n"/>
      <c r="O131" s="352" t="n"/>
    </row>
    <row r="132" spans="1:15">
      <c r="B132" s="59">
        <f>B120</f>
        <v/>
      </c>
      <c r="C132" s="348">
        <f>IF(ISBLANK('Electric old'!G132),"-",'Electric old'!G132)</f>
        <v/>
      </c>
      <c r="D132" s="348">
        <f>IF(ISBLANK(2/24*('Gas Old'!$H9+'Gas Old'!$H18)),"-",2/24*('Gas Old'!$H9+'Gas Old'!$H18))</f>
        <v/>
      </c>
      <c r="E132" s="348">
        <f>IF(ISBLANK('Water Old'!G132),"-",'Water Old'!G132)</f>
        <v/>
      </c>
      <c r="F132" s="348">
        <f>SUM(C132:E132)</f>
        <v/>
      </c>
      <c r="G132" s="350">
        <f>F132+G131</f>
        <v/>
      </c>
      <c r="J132" s="67" t="n"/>
      <c r="K132" s="352" t="n"/>
      <c r="L132" s="352" t="n"/>
      <c r="M132" s="352" t="n"/>
      <c r="N132" s="352" t="n"/>
      <c r="O132" s="352" t="n"/>
    </row>
    <row r="133" spans="1:15">
      <c r="B133" s="59">
        <f>B121</f>
        <v/>
      </c>
      <c r="C133" s="348">
        <f>IF(ISBLANK('Electric old'!G133),"-",'Electric old'!G133)</f>
        <v/>
      </c>
      <c r="D133" s="348">
        <f>IF(ISBLANK(2/24*('Gas Old'!$H10+'Gas Old'!$H19)),"-",2/24*('Gas Old'!$H10+'Gas Old'!$H19))</f>
        <v/>
      </c>
      <c r="E133" s="348">
        <f>IF(ISBLANK('Water Old'!G133),"-",'Water Old'!G133)</f>
        <v/>
      </c>
      <c r="F133" s="348">
        <f>SUM(C133:E133)</f>
        <v/>
      </c>
      <c r="G133" s="350">
        <f>F133+G132</f>
        <v/>
      </c>
      <c r="J133" s="67" t="n"/>
      <c r="K133" s="352" t="n"/>
      <c r="L133" s="352" t="n"/>
      <c r="M133" s="352" t="n"/>
      <c r="N133" s="352" t="n"/>
      <c r="O133" s="352" t="n"/>
    </row>
    <row r="134" spans="1:15">
      <c r="B134" s="59">
        <f>B122</f>
        <v/>
      </c>
      <c r="C134" s="348">
        <f>IF(ISBLANK('Electric old'!G134),"-",'Electric old'!G134)</f>
        <v/>
      </c>
      <c r="D134" s="348">
        <f>IF(ISBLANK(2/24*('Gas Old'!$H11+'Gas Old'!$H20)),"-",2/24*('Gas Old'!$H11+'Gas Old'!$H20))</f>
        <v/>
      </c>
      <c r="E134" s="348">
        <f>IF(ISBLANK('Water Old'!G134),"-",'Water Old'!G134)</f>
        <v/>
      </c>
      <c r="F134" s="348">
        <f>SUM(C134:E134)</f>
        <v/>
      </c>
      <c r="G134" s="350">
        <f>F134+G133</f>
        <v/>
      </c>
      <c r="J134" s="67" t="n"/>
      <c r="K134" s="352" t="n"/>
      <c r="L134" s="352" t="n"/>
      <c r="M134" s="352" t="n"/>
      <c r="N134" s="352" t="n"/>
      <c r="O134" s="352" t="n"/>
    </row>
    <row r="135" spans="1:15">
      <c r="B135" s="59">
        <f>B123</f>
        <v/>
      </c>
      <c r="C135" s="348">
        <f>IF(ISBLANK('Electric old'!G135),"-",'Electric old'!G135)</f>
        <v/>
      </c>
      <c r="D135" s="348">
        <f>IF(ISBLANK(2/24*('Gas Old'!$H12+'Gas Old'!$H21)),"-",2/24*('Gas Old'!$H12+'Gas Old'!$H21))</f>
        <v/>
      </c>
      <c r="E135" s="348">
        <f>IF(ISBLANK('Water Old'!G135),"-",'Water Old'!G135)</f>
        <v/>
      </c>
      <c r="F135" s="348">
        <f>SUM(C135:E135)</f>
        <v/>
      </c>
      <c r="G135" s="350">
        <f>F135+G134</f>
        <v/>
      </c>
      <c r="J135" s="67" t="n"/>
      <c r="K135" s="352" t="n"/>
      <c r="L135" s="352" t="n"/>
      <c r="M135" s="352" t="n"/>
      <c r="N135" s="352" t="n"/>
      <c r="O135" s="352" t="n"/>
    </row>
    <row r="136" spans="1:15">
      <c r="A136" s="283" t="s">
        <v>124</v>
      </c>
      <c r="B136" s="59">
        <f>B124</f>
        <v/>
      </c>
      <c r="C136" s="348">
        <f>IF(ISERR(C4+C16+C28+C40+C52+C64+C76+C88+C100+C112+C124), "-", (C4+C16+C28+C40+C52+C64+C76+C88+C100+C112+C124))</f>
        <v/>
      </c>
      <c r="D136" s="348">
        <f>IF(ISERR(D4+D16+D28+D40+D52+D64+D76+D88+D100+D112+D124), "-", (D4+D16+D28+D40+D52+D64+D76+D88+D100+D112+D124))</f>
        <v/>
      </c>
      <c r="E136" s="348">
        <f>IF(ISERR(E4+E16+E28+E40+E52+E64+E76+E88+E100+E112+E124), "-", (E4+E16+E28+E40+E52+E64+E76+E88+E100+E112+E124))</f>
        <v/>
      </c>
      <c r="F136" s="349" t="s">
        <v>112</v>
      </c>
      <c r="G136" s="349" t="s">
        <v>112</v>
      </c>
    </row>
    <row r="137" spans="1:15">
      <c r="B137" s="59">
        <f>B125</f>
        <v/>
      </c>
      <c r="C137" s="348">
        <f>IF(ISERR(C5+C17+C29+C41+C53+C65+C77+C89+C101+C113+C125), "-", (C5+C17+C29+C41+C53+C65+C77+C89+C101+C113+C125))</f>
        <v/>
      </c>
      <c r="D137" s="348">
        <f>IF(ISERR(D5+D17+D29+D41+D53+D65+D77+D89+D101+D113+D125), "-", (D5+D17+D29+D41+D53+D65+D77+D89+D101+D113+D125))</f>
        <v/>
      </c>
      <c r="E137" s="348">
        <f>IF(ISERR(E5+E17+E29+E41+E53+E65+E77+E89+E101+E113+E125), "-", (E5+E17+E29+E41+E53+E65+E77+E89+E101+E113+E125))</f>
        <v/>
      </c>
      <c r="F137" s="349" t="s">
        <v>112</v>
      </c>
      <c r="G137" s="349" t="s">
        <v>112</v>
      </c>
    </row>
    <row r="138" spans="1:15">
      <c r="B138" s="59">
        <f>B126</f>
        <v/>
      </c>
      <c r="C138" s="348">
        <f>IF(ISERR(C6+C18+C30+C42+C54+C66+C78+C90+C102+C114+C126), "-", (C6+C18+C30+C42+C54+C66+C78+C90+C102+C114+C126))</f>
        <v/>
      </c>
      <c r="D138" s="348">
        <f>IF(ISERR(D6+D18+D30+D42+D54+D66+D78+D90+D102+D114+D126), "-", (D6+D18+D30+D42+D54+D66+D78+D90+D102+D114+D126))</f>
        <v/>
      </c>
      <c r="E138" s="348">
        <f>IF(ISERR(E6+E18+E30+E42+E54+E66+E78+E90+E102+E114+E126), "-", (E6+E18+E30+E42+E54+E66+E78+E90+E102+E114+E126))</f>
        <v/>
      </c>
      <c r="F138" s="348">
        <f>SUM(C138:E138)</f>
        <v/>
      </c>
      <c r="G138" s="350">
        <f>F138</f>
        <v/>
      </c>
    </row>
    <row r="139" spans="1:15">
      <c r="B139" s="59">
        <f>B127</f>
        <v/>
      </c>
      <c r="C139" s="348">
        <f>IF(ISERR(C7+C19+C31+C43+C55+C67+C79+C91+C103+C115+C127), "-", (C7+C19+C31+C43+C55+C67+C79+C91+C103+C115+C127))</f>
        <v/>
      </c>
      <c r="D139" s="348">
        <f>IF(ISERR(D7+D19+D31+D43+D55+D67+D79+D91+D103+D115+D127), "-", (D7+D19+D31+D43+D55+D67+D79+D91+D103+D115+D127))</f>
        <v/>
      </c>
      <c r="E139" s="348">
        <f>IF(ISERR(E7+E19+E31+E43+E55+E67+E79+E91+E103+E115+E127), "-", (E7+E19+E31+E43+E55+E67+E79+E91+E103+E115+E127))</f>
        <v/>
      </c>
      <c r="F139" s="348">
        <f>SUM(C139:E139)</f>
        <v/>
      </c>
      <c r="G139" s="350">
        <f>F139+G138</f>
        <v/>
      </c>
    </row>
    <row r="140" spans="1:15">
      <c r="B140" s="59">
        <f>B128</f>
        <v/>
      </c>
      <c r="C140" s="348">
        <f>IF(ISERR(C8+C20+C32+C44+C56+C68+C80+C92+C104+C116+C128), "-", (C8+C20+C32+C44+C56+C68+C80+C92+C104+C116+C128))</f>
        <v/>
      </c>
      <c r="D140" s="348">
        <f>IF(ISERR(D8+D20+D32+D44+D56+D68+D80+D92+D104+D116+D128), "-", (D8+D20+D32+D44+D56+D68+D80+D92+D104+D116+D128))</f>
        <v/>
      </c>
      <c r="E140" s="348">
        <f>IF(ISERR(E8+E20+E32+E44+E56+E68+E80+E92+E104+E116+E128), "-", (E8+E20+E32+E44+E56+E68+E80+E92+E104+E116+E128))</f>
        <v/>
      </c>
      <c r="F140" s="348">
        <f>SUM(C140:E140)</f>
        <v/>
      </c>
      <c r="G140" s="350">
        <f>F140+G139</f>
        <v/>
      </c>
    </row>
    <row r="141" spans="1:15">
      <c r="B141" s="59">
        <f>B129</f>
        <v/>
      </c>
      <c r="C141" s="348">
        <f>IF(ISERR(C9+C21+C33+C45+C57+C69+C81+C93+C105+C117+C129), "-", (C9+C21+C33+C45+C57+C69+C81+C93+C105+C117+C129))</f>
        <v/>
      </c>
      <c r="D141" s="348">
        <f>IF(ISERR(D9+D21+D33+D45+D57+D69+D81+D93+D105+D117+D129), "-", (D9+D21+D33+D45+D57+D69+D81+D93+D105+D117+D129))</f>
        <v/>
      </c>
      <c r="E141" s="348">
        <f>IF(ISERR(E9+E21+E33+E45+E57+E69+E81+E93+E105+E117+E129), "-", (E9+E21+E33+E45+E57+E69+E81+E93+E105+E117+E129))</f>
        <v/>
      </c>
      <c r="F141" s="348">
        <f>SUM(C141:E141)</f>
        <v/>
      </c>
      <c r="G141" s="350">
        <f>F141+G140</f>
        <v/>
      </c>
    </row>
    <row r="142" spans="1:15">
      <c r="B142" s="59">
        <f>B130</f>
        <v/>
      </c>
      <c r="C142" s="348">
        <f>IF(ISERR(C10+C22+C34+C46+C58+C70+C82+C94+C106+C118+C130), "-", (C10+C22+C34+C46+C58+C70+C82+C94+C106+C118+C130))</f>
        <v/>
      </c>
      <c r="D142" s="348">
        <f>IF(ISERR(D10+D22+D34+D46+D58+D70+D82+D94+D106+D118+D130), "-", (D10+D22+D34+D46+D58+D70+D82+D94+D106+D118+D130))</f>
        <v/>
      </c>
      <c r="E142" s="348">
        <f>IF(ISERR(E10+E22+E34+E46+E58+E70+E82+E94+E106+E118+E130), "-", (E10+E22+E34+E46+E58+E70+E82+E94+E106+E118+E130))</f>
        <v/>
      </c>
      <c r="F142" s="348">
        <f>SUM(C142:E142)</f>
        <v/>
      </c>
      <c r="G142" s="350">
        <f>F142+G141</f>
        <v/>
      </c>
    </row>
    <row r="143" spans="1:15">
      <c r="B143" s="59">
        <f>B131</f>
        <v/>
      </c>
      <c r="C143" s="348">
        <f>IF(ISERR(C11+C23+C35+C47+C59+C71+C83+C95+C107+C119+C131), "-", (C11+C23+C35+C47+C59+C71+C83+C95+C107+C119+C131))</f>
        <v/>
      </c>
      <c r="D143" s="348">
        <f>IF(ISERR(D11+D23+D35+D47+D59+D71+D83+D95+D107+D119+D131), "-", (D11+D23+D35+D47+D59+D71+D83+D95+D107+D119+D131))</f>
        <v/>
      </c>
      <c r="E143" s="348">
        <f>IF(ISERR(E11+E23+E35+E47+E59+E71+E83+E95+E107+E119+E131), "-", (E11+E23+E35+E47+E59+E71+E83+E95+E107+E119+E131))</f>
        <v/>
      </c>
      <c r="F143" s="348">
        <f>SUM(C143:E143)</f>
        <v/>
      </c>
      <c r="G143" s="350">
        <f>F143+G142</f>
        <v/>
      </c>
    </row>
    <row r="144" spans="1:15">
      <c r="B144" s="59">
        <f>B132</f>
        <v/>
      </c>
      <c r="C144" s="348">
        <f>IF(ISERR(C12+C24+C36+C48+C60+C72+C84+C96+C108+C120+C132), "-", (C12+C24+C36+C48+C60+C72+C84+C96+C108+C120+C132))</f>
        <v/>
      </c>
      <c r="D144" s="348">
        <f>IF(ISERR(D12+D24+D36+D48+D60+D72+D84+D96+D108+D120+D132), "-", (D12+D24+D36+D48+D60+D72+D84+D96+D108+D120+D132))</f>
        <v/>
      </c>
      <c r="E144" s="348">
        <f>IF(ISERR(E12+E24+E36+E48+E60+E72+E84+E96+E108+E120+E132), "-", (E12+E24+E36+E48+E60+E72+E84+E96+E108+E120+E132))</f>
        <v/>
      </c>
      <c r="F144" s="348">
        <f>SUM(C144:E144)</f>
        <v/>
      </c>
      <c r="G144" s="350">
        <f>F144+G143</f>
        <v/>
      </c>
    </row>
    <row r="145" spans="1:15">
      <c r="B145" s="59">
        <f>B133</f>
        <v/>
      </c>
      <c r="C145" s="348">
        <f>IF(ISERR(C13+C25+C37+C49+C61+C73+C85+C97+C109+C121+C133), "-", (C13+C25+C37+C49+C61+C73+C85+C97+C109+C121+C133))</f>
        <v/>
      </c>
      <c r="D145" s="348">
        <f>IF(ISERR(D13+D25+D37+D49+D61+D73+D85+D97+D109+D121+D133), "-", (D13+D25+D37+D49+D61+D73+D85+D97+D109+D121+D133))</f>
        <v/>
      </c>
      <c r="E145" s="348" t="n">
        <v>1110.636782486507</v>
      </c>
      <c r="F145" s="348">
        <f>SUM(C145:E145)</f>
        <v/>
      </c>
      <c r="G145" s="350">
        <f>F145+G144</f>
        <v/>
      </c>
    </row>
    <row r="146" spans="1:15">
      <c r="B146" s="59">
        <f>B134</f>
        <v/>
      </c>
      <c r="C146" s="348">
        <f>IF(ISERR(C14+C26+C38+C50+C62+C74+C86+C98+C110+C122+C134), "-", (C14+C26+C38+C50+C62+C74+C86+C98+C110+C122+C134))</f>
        <v/>
      </c>
      <c r="D146" s="348">
        <f>IF(ISERR(D14+D26+D38+D50+D62+D74+D86+D98+D110+D122+D134), "-", (D14+D26+D38+D50+D62+D74+D86+D98+D110+D122+D134))</f>
        <v/>
      </c>
      <c r="E146" s="348" t="n">
        <v>525.8346912071812</v>
      </c>
      <c r="F146" s="348">
        <f>SUM(C146:E146)</f>
        <v/>
      </c>
      <c r="G146" s="350">
        <f>F146+G145</f>
        <v/>
      </c>
    </row>
    <row r="147" spans="1:15">
      <c r="B147" s="59">
        <f>B135</f>
        <v/>
      </c>
      <c r="C147" s="348">
        <f>IF(ISERR(C15+C27+C39+C51+C63+C75+C87+C99+C111+C123+C135), "-", (C15+C27+C39+C51+C63+C75+C87+C99+C111+C123+C135))</f>
        <v/>
      </c>
      <c r="D147" s="348">
        <f>IF(ISERR(D15+D27+D39+D51+D63+D75+D87+D99+D111+D123+D135), "-", (D15+D27+D39+D51+D63+D75+D87+D99+D111+D123+D135))</f>
        <v/>
      </c>
      <c r="E147" s="348">
        <f>IF(ISERR(E15+E27+E39+E51+E63+E75+E87+E99+E111+E123+E135), "-", (E15+E27+E39+E51+E63+E75+E87+E99+E111+E123+E135))</f>
        <v/>
      </c>
      <c r="F147" s="348">
        <f>SUM(C147:E147)</f>
        <v/>
      </c>
      <c r="G147" s="350">
        <f>F147+G146</f>
        <v/>
      </c>
    </row>
    <row r="149" spans="1:15">
      <c r="A149" s="142" t="s">
        <v>34</v>
      </c>
    </row>
    <row r="150" spans="1:15">
      <c r="A150" s="142" t="s">
        <v>125</v>
      </c>
    </row>
    <row r="151" spans="1:15">
      <c r="A151" s="139" t="s">
        <v>36</v>
      </c>
    </row>
    <row r="152" spans="1:15">
      <c r="A152" s="139" t="s">
        <v>37</v>
      </c>
    </row>
    <row r="153" spans="1:15">
      <c r="A153" s="139" t="s">
        <v>38</v>
      </c>
    </row>
    <row r="154" spans="1:15">
      <c r="A154" s="139" t="s">
        <v>39</v>
      </c>
    </row>
    <row r="155" spans="1:15">
      <c r="A155" s="139" t="s">
        <v>126</v>
      </c>
    </row>
    <row r="156" spans="1:15">
      <c r="A156" s="139" t="s">
        <v>41</v>
      </c>
    </row>
    <row r="157" spans="1:15">
      <c r="A157" s="139" t="s">
        <v>42</v>
      </c>
    </row>
    <row r="158" spans="1:15">
      <c r="A158" s="139" t="s">
        <v>43</v>
      </c>
    </row>
    <row r="159" spans="1:15">
      <c r="A159" s="139" t="s">
        <v>44</v>
      </c>
    </row>
    <row r="160" spans="1:15">
      <c r="A160" s="139" t="s">
        <v>127</v>
      </c>
    </row>
    <row r="161" spans="1:15">
      <c r="A161" s="139" t="s">
        <v>128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ageMargins bottom="1" footer="0.5" header="0.5" left="0.75" right="0.75" top="1"/>
  <pageSetup orientation="portrait"/>
  <headerFooter alignWithMargins="0">
    <oddHeader/>
    <oddFooter>&amp;C&amp;P of &amp;N</oddFooter>
    <evenHeader/>
    <evenFooter/>
    <firstHeader/>
    <firstFooter/>
  </headerFooter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08"/>
  <sheetViews>
    <sheetView topLeftCell="A100" workbookViewId="0" zoomScale="85" zoomScaleNormal="85">
      <selection activeCell="A137" sqref="A137:A138"/>
    </sheetView>
  </sheetViews>
  <sheetFormatPr baseColWidth="8" defaultRowHeight="12.75" outlineLevelCol="0"/>
  <cols>
    <col bestFit="1" customWidth="1" max="1" min="1" style="22" width="25.85546875"/>
    <col customWidth="1" max="2" min="2" style="70" width="12"/>
    <col customWidth="1" max="5" min="3" style="70" width="11.140625"/>
    <col bestFit="1" customWidth="1" max="6" min="6" style="70" width="13.42578125"/>
    <col customWidth="1" max="7" min="7" style="70" width="11.140625"/>
    <col bestFit="1" customWidth="1" max="9" min="9" style="3" width="58.85546875"/>
  </cols>
  <sheetData>
    <row customHeight="1" ht="15.75" r="1" s="3" spans="1:10">
      <c r="A1" s="33" t="s">
        <v>129</v>
      </c>
    </row>
    <row customHeight="1" ht="33" r="3" s="3" spans="1:10">
      <c r="A3" s="2" t="s">
        <v>3</v>
      </c>
      <c r="B3" s="71" t="s">
        <v>4</v>
      </c>
      <c r="C3" s="71" t="s">
        <v>130</v>
      </c>
      <c r="D3" s="71" t="s">
        <v>131</v>
      </c>
      <c r="E3" s="71" t="s">
        <v>132</v>
      </c>
      <c r="F3" s="71" t="s">
        <v>47</v>
      </c>
      <c r="G3" s="71" t="s">
        <v>50</v>
      </c>
    </row>
    <row r="4" spans="1:10">
      <c r="A4" s="284" t="s">
        <v>110</v>
      </c>
      <c r="B4" s="6" t="s">
        <v>133</v>
      </c>
      <c r="C4" s="12" t="n">
        <v>39119</v>
      </c>
      <c r="D4" s="13" t="n">
        <v>360022</v>
      </c>
      <c r="E4" s="13">
        <f>D4-D15</f>
        <v/>
      </c>
      <c r="F4" s="353" t="n">
        <v>0.08767848566649554</v>
      </c>
      <c r="G4" s="354">
        <f>E4*F4</f>
        <v/>
      </c>
    </row>
    <row r="5" spans="1:10">
      <c r="B5" s="6" t="s">
        <v>134</v>
      </c>
      <c r="C5" s="12" t="n">
        <v>38782</v>
      </c>
      <c r="D5" s="13" t="n">
        <v>154174</v>
      </c>
      <c r="E5" s="13" t="n">
        <v>22448</v>
      </c>
      <c r="F5" s="353" t="n">
        <v>0.09642004162354066</v>
      </c>
      <c r="G5" s="354">
        <f>E5*F5</f>
        <v/>
      </c>
      <c r="I5" s="77" t="s">
        <v>135</v>
      </c>
      <c r="J5" s="355">
        <f>E13/E5</f>
        <v/>
      </c>
    </row>
    <row r="6" spans="1:10">
      <c r="B6" s="6" t="s">
        <v>136</v>
      </c>
      <c r="C6" s="12" t="n">
        <v>38811</v>
      </c>
      <c r="D6" s="13" t="n">
        <v>180116</v>
      </c>
      <c r="E6" s="13" t="n">
        <v>25942</v>
      </c>
      <c r="F6" s="353" t="n">
        <v>0.09687999999999999</v>
      </c>
      <c r="G6" s="354">
        <f>E6*0.09688</f>
        <v/>
      </c>
      <c r="I6" t="s">
        <v>137</v>
      </c>
      <c r="J6" s="355">
        <f>E11/E5</f>
        <v/>
      </c>
    </row>
    <row r="7" spans="1:10">
      <c r="B7" s="6" t="s">
        <v>138</v>
      </c>
      <c r="C7" s="12" t="n">
        <v>38838</v>
      </c>
      <c r="D7" s="13" t="n">
        <v>201334</v>
      </c>
      <c r="E7" s="13" t="n">
        <v>21218</v>
      </c>
      <c r="F7" s="353" t="n">
        <v>0.10269</v>
      </c>
      <c r="G7" s="354">
        <f>E7*0.10269</f>
        <v/>
      </c>
      <c r="I7" t="s">
        <v>139</v>
      </c>
      <c r="J7" s="355">
        <f>(SUM(E16:E27)+SUM(E4:E15))/SUM(E4:E15)</f>
        <v/>
      </c>
    </row>
    <row r="8" spans="1:10">
      <c r="B8" s="6" t="s">
        <v>140</v>
      </c>
      <c r="C8" s="12" t="n">
        <v>38869</v>
      </c>
      <c r="D8" s="13" t="n">
        <v>220390</v>
      </c>
      <c r="E8" s="13" t="n">
        <v>19056</v>
      </c>
      <c r="F8" s="353" t="n">
        <v>0.12096</v>
      </c>
      <c r="G8" s="354">
        <f>E8*0.12096</f>
        <v/>
      </c>
    </row>
    <row r="9" spans="1:10">
      <c r="B9" s="6" t="s">
        <v>141</v>
      </c>
      <c r="C9" s="12" t="n">
        <v>38896</v>
      </c>
      <c r="D9" s="13" t="n">
        <v>232343</v>
      </c>
      <c r="E9" s="13" t="n">
        <v>11953</v>
      </c>
      <c r="F9" s="353" t="n">
        <v>0.11636932</v>
      </c>
      <c r="G9" s="354">
        <f>E9*0.11636932</f>
        <v/>
      </c>
    </row>
    <row r="10" spans="1:10">
      <c r="B10" s="6" t="s">
        <v>142</v>
      </c>
      <c r="C10" s="12" t="n">
        <v>38925</v>
      </c>
      <c r="D10" s="13" t="n">
        <v>248038</v>
      </c>
      <c r="E10" s="13" t="n">
        <v>15695</v>
      </c>
      <c r="F10" s="353" t="n">
        <v>0.11636932</v>
      </c>
      <c r="G10" s="354">
        <f>E10*0.11636932</f>
        <v/>
      </c>
    </row>
    <row r="11" spans="1:10">
      <c r="B11" s="6" t="s">
        <v>143</v>
      </c>
      <c r="C11" s="12" t="n">
        <v>38965</v>
      </c>
      <c r="D11" s="13" t="n">
        <v>267464</v>
      </c>
      <c r="E11" s="13" t="n">
        <v>19426</v>
      </c>
      <c r="F11" s="353" t="n">
        <v>0.11484</v>
      </c>
      <c r="G11" s="354">
        <f>E11*0.11484</f>
        <v/>
      </c>
    </row>
    <row r="12" spans="1:10">
      <c r="B12" s="6" t="s">
        <v>144</v>
      </c>
      <c r="C12" s="12" t="n">
        <v>38993</v>
      </c>
      <c r="D12" s="13" t="n">
        <v>286756</v>
      </c>
      <c r="E12" s="13" t="n">
        <v>19292</v>
      </c>
      <c r="F12" s="353" t="n">
        <v>0.1272</v>
      </c>
      <c r="G12" s="354">
        <f>E12*F12</f>
        <v/>
      </c>
    </row>
    <row r="13" spans="1:10">
      <c r="B13" s="6" t="s">
        <v>145</v>
      </c>
      <c r="C13" s="12" t="n">
        <v>39035</v>
      </c>
      <c r="D13" s="13" t="n">
        <v>315538</v>
      </c>
      <c r="E13" s="13" t="n">
        <v>28782</v>
      </c>
      <c r="F13" s="353" t="n">
        <v>0.1144</v>
      </c>
      <c r="G13" s="354">
        <f>E13*F13</f>
        <v/>
      </c>
    </row>
    <row r="14" spans="1:10">
      <c r="B14" s="6" t="s">
        <v>146</v>
      </c>
      <c r="C14" s="12" t="n">
        <v>39056</v>
      </c>
      <c r="D14" s="13" t="n">
        <v>328546</v>
      </c>
      <c r="E14" s="13" t="n">
        <v>13008</v>
      </c>
      <c r="F14" s="353" t="n">
        <v>0.0893</v>
      </c>
      <c r="G14" s="354">
        <f>E14*F14</f>
        <v/>
      </c>
    </row>
    <row r="15" spans="1:10">
      <c r="B15" s="6" t="s">
        <v>147</v>
      </c>
      <c r="C15" s="12" t="n">
        <v>38725</v>
      </c>
      <c r="D15" s="13" t="n">
        <v>343366</v>
      </c>
      <c r="E15" s="13" t="n">
        <v>14820</v>
      </c>
      <c r="F15" s="353" t="n">
        <v>0.09071382200188857</v>
      </c>
      <c r="G15" s="354">
        <f>E15*F15</f>
        <v/>
      </c>
    </row>
    <row r="16" spans="1:10">
      <c r="A16" s="284" t="s">
        <v>104</v>
      </c>
      <c r="B16" s="6" t="s">
        <v>133</v>
      </c>
      <c r="C16" s="12" t="n">
        <v>39119</v>
      </c>
      <c r="D16" s="13" t="n">
        <v>174797</v>
      </c>
      <c r="E16" s="13">
        <f>D16-D27</f>
        <v/>
      </c>
      <c r="F16" s="353">
        <f>F4</f>
        <v/>
      </c>
      <c r="G16" s="354">
        <f>E16*F16</f>
        <v/>
      </c>
    </row>
    <row r="17" spans="1:10">
      <c r="B17" s="6" t="s">
        <v>134</v>
      </c>
      <c r="C17" s="12" t="n">
        <v>38782</v>
      </c>
      <c r="D17" s="13" t="n">
        <v>78620</v>
      </c>
      <c r="E17" s="13" t="n">
        <v>11826</v>
      </c>
      <c r="F17" s="353">
        <f>F5</f>
        <v/>
      </c>
      <c r="G17" s="354">
        <f>E17*F17</f>
        <v/>
      </c>
    </row>
    <row r="18" spans="1:10">
      <c r="B18" s="6" t="s">
        <v>136</v>
      </c>
      <c r="C18" s="12" t="n">
        <v>38811</v>
      </c>
      <c r="D18" s="13" t="n">
        <v>87253</v>
      </c>
      <c r="E18" s="13" t="n">
        <v>8633</v>
      </c>
      <c r="F18" s="353" t="n">
        <v>0.09687999999999999</v>
      </c>
      <c r="G18" s="354">
        <f>E18*0.09688</f>
        <v/>
      </c>
    </row>
    <row r="19" spans="1:10">
      <c r="B19" s="6" t="s">
        <v>138</v>
      </c>
      <c r="C19" s="12" t="n">
        <v>38838</v>
      </c>
      <c r="D19" s="13" t="n">
        <v>97941</v>
      </c>
      <c r="E19" s="13" t="n">
        <v>10688</v>
      </c>
      <c r="F19" s="353" t="n">
        <v>0.10269</v>
      </c>
      <c r="G19" s="354">
        <f>E19*0.10269</f>
        <v/>
      </c>
    </row>
    <row r="20" spans="1:10">
      <c r="B20" s="6" t="s">
        <v>140</v>
      </c>
      <c r="C20" s="12" t="n">
        <v>38869</v>
      </c>
      <c r="D20" s="13" t="n">
        <v>104773</v>
      </c>
      <c r="E20" s="13" t="n">
        <v>6832</v>
      </c>
      <c r="F20" s="353" t="n">
        <v>0.12096</v>
      </c>
      <c r="G20" s="354">
        <f>E20*0.12096</f>
        <v/>
      </c>
    </row>
    <row r="21" spans="1:10">
      <c r="B21" s="6" t="s">
        <v>141</v>
      </c>
      <c r="C21" s="12" t="n">
        <v>38896</v>
      </c>
      <c r="D21" s="13" t="n">
        <v>111739</v>
      </c>
      <c r="E21" s="13" t="n">
        <v>6966</v>
      </c>
      <c r="F21" s="353" t="n">
        <v>0.11636932</v>
      </c>
      <c r="G21" s="354">
        <f>E21*0.11636932</f>
        <v/>
      </c>
    </row>
    <row r="22" spans="1:10">
      <c r="B22" s="6" t="s">
        <v>142</v>
      </c>
      <c r="C22" s="12" t="n">
        <v>38925</v>
      </c>
      <c r="D22" s="13" t="n">
        <v>121057</v>
      </c>
      <c r="E22" s="13" t="n">
        <v>9318</v>
      </c>
      <c r="F22" s="353" t="n">
        <v>0.11636932</v>
      </c>
      <c r="G22" s="354">
        <f>E22*0.11636932</f>
        <v/>
      </c>
    </row>
    <row r="23" spans="1:10">
      <c r="B23" s="6" t="s">
        <v>143</v>
      </c>
      <c r="C23" s="12" t="n">
        <v>38965</v>
      </c>
      <c r="D23" s="13" t="n">
        <v>130816</v>
      </c>
      <c r="E23" s="13" t="n">
        <v>9759</v>
      </c>
      <c r="F23" s="353" t="n">
        <v>0.11484</v>
      </c>
      <c r="G23" s="354">
        <f>E23*0.11484</f>
        <v/>
      </c>
    </row>
    <row r="24" spans="1:10">
      <c r="B24" s="6" t="s">
        <v>144</v>
      </c>
      <c r="C24" s="12" t="n">
        <v>38993</v>
      </c>
      <c r="D24" s="13" t="n">
        <v>139074</v>
      </c>
      <c r="E24" s="13" t="n">
        <v>8258</v>
      </c>
      <c r="F24" s="353" t="n">
        <v>0.1272</v>
      </c>
      <c r="G24" s="354">
        <f>E24*F24</f>
        <v/>
      </c>
    </row>
    <row r="25" spans="1:10">
      <c r="B25" s="6" t="s">
        <v>145</v>
      </c>
      <c r="C25" s="12" t="n">
        <v>39035</v>
      </c>
      <c r="D25" s="13" t="n">
        <v>151403</v>
      </c>
      <c r="E25" s="13" t="n">
        <v>12329</v>
      </c>
      <c r="F25" s="353" t="n">
        <v>0.1144</v>
      </c>
      <c r="G25" s="354">
        <f>E25*F25</f>
        <v/>
      </c>
    </row>
    <row r="26" spans="1:10">
      <c r="B26" s="6" t="s">
        <v>146</v>
      </c>
      <c r="C26" s="12" t="n">
        <v>39056</v>
      </c>
      <c r="D26" s="13" t="n">
        <v>157658</v>
      </c>
      <c r="E26" s="13" t="n">
        <v>6255</v>
      </c>
      <c r="F26" s="353" t="n">
        <v>0.0893</v>
      </c>
      <c r="G26" s="354">
        <f>E26*F26</f>
        <v/>
      </c>
    </row>
    <row r="27" spans="1:10">
      <c r="B27" s="6" t="s">
        <v>147</v>
      </c>
      <c r="C27" s="12" t="n">
        <v>38725</v>
      </c>
      <c r="D27" s="13" t="n">
        <v>166196</v>
      </c>
      <c r="E27" s="13" t="n">
        <v>8538</v>
      </c>
      <c r="F27" s="353" t="n">
        <v>0.09071382200188857</v>
      </c>
      <c r="G27" s="354">
        <f>E27*F27</f>
        <v/>
      </c>
    </row>
    <row r="28" spans="1:10">
      <c r="A28" s="284" t="s">
        <v>12</v>
      </c>
      <c r="B28" s="6" t="s">
        <v>133</v>
      </c>
      <c r="C28" s="12" t="n">
        <v>38747</v>
      </c>
      <c r="D28" s="13" t="n">
        <v>32372</v>
      </c>
      <c r="E28" s="13" t="n">
        <v>3501</v>
      </c>
      <c r="F28" s="353">
        <f>F16</f>
        <v/>
      </c>
      <c r="G28" s="354">
        <f>E28*F28</f>
        <v/>
      </c>
    </row>
    <row r="29" spans="1:10">
      <c r="B29" s="6" t="s">
        <v>134</v>
      </c>
      <c r="C29" s="12" t="n">
        <v>38782</v>
      </c>
      <c r="D29" s="13" t="n">
        <v>38477</v>
      </c>
      <c r="E29" s="13" t="n">
        <v>6105</v>
      </c>
      <c r="F29" s="353">
        <f>F17</f>
        <v/>
      </c>
      <c r="G29" s="354">
        <f>E29*F29</f>
        <v/>
      </c>
    </row>
    <row r="30" spans="1:10">
      <c r="B30" s="6" t="s">
        <v>136</v>
      </c>
      <c r="C30" s="12" t="n">
        <v>38811</v>
      </c>
      <c r="D30" s="13" t="n">
        <v>42917</v>
      </c>
      <c r="E30" s="13" t="n">
        <v>4440</v>
      </c>
      <c r="F30" s="353" t="n">
        <v>0.09687999999999999</v>
      </c>
      <c r="G30" s="354">
        <f>E30*0.09688</f>
        <v/>
      </c>
    </row>
    <row r="31" spans="1:10">
      <c r="B31" s="6" t="s">
        <v>138</v>
      </c>
      <c r="C31" s="12" t="n">
        <v>38838</v>
      </c>
      <c r="D31" s="13" t="n">
        <v>47725</v>
      </c>
      <c r="E31" s="13" t="n">
        <v>4808</v>
      </c>
      <c r="F31" s="353" t="n">
        <v>0.10269</v>
      </c>
      <c r="G31" s="354">
        <f>E31*0.10269</f>
        <v/>
      </c>
    </row>
    <row r="32" spans="1:10">
      <c r="B32" s="6" t="s">
        <v>140</v>
      </c>
      <c r="C32" s="12" t="n">
        <v>38869</v>
      </c>
      <c r="D32" s="13" t="n">
        <v>51150</v>
      </c>
      <c r="E32" s="13" t="n">
        <v>3425</v>
      </c>
      <c r="F32" s="353" t="n">
        <v>0.12096</v>
      </c>
      <c r="G32" s="354">
        <f>E32*0.12096</f>
        <v/>
      </c>
    </row>
    <row r="33" spans="1:10">
      <c r="B33" s="6" t="s">
        <v>141</v>
      </c>
      <c r="C33" s="12" t="n">
        <v>38896</v>
      </c>
      <c r="D33" s="13" t="n">
        <v>52405</v>
      </c>
      <c r="E33" s="13" t="n">
        <v>1255</v>
      </c>
      <c r="F33" s="353" t="n">
        <v>0.11636932</v>
      </c>
      <c r="G33" s="354">
        <f>E33*0.11636932</f>
        <v/>
      </c>
    </row>
    <row r="34" spans="1:10">
      <c r="B34" s="6" t="s">
        <v>142</v>
      </c>
      <c r="C34" s="12" t="n">
        <v>38925</v>
      </c>
      <c r="D34" s="13" t="n">
        <v>55077</v>
      </c>
      <c r="E34" s="13" t="n">
        <v>2672</v>
      </c>
      <c r="F34" s="353" t="n">
        <v>0.11636932</v>
      </c>
      <c r="G34" s="354">
        <f>E34*0.11636932</f>
        <v/>
      </c>
    </row>
    <row r="35" spans="1:10">
      <c r="B35" s="6" t="s">
        <v>143</v>
      </c>
      <c r="C35" s="12" t="n">
        <v>38965</v>
      </c>
      <c r="D35" s="13" t="n">
        <v>58825</v>
      </c>
      <c r="E35" s="13" t="n">
        <v>3748</v>
      </c>
      <c r="F35" s="353" t="n">
        <v>0.11484</v>
      </c>
      <c r="G35" s="354">
        <f>E35*0.11484</f>
        <v/>
      </c>
    </row>
    <row r="36" spans="1:10">
      <c r="B36" s="6" t="s">
        <v>144</v>
      </c>
      <c r="C36" s="12" t="n">
        <v>38993</v>
      </c>
      <c r="D36" s="13" t="n">
        <v>63996</v>
      </c>
      <c r="E36" s="13" t="n">
        <v>5171</v>
      </c>
      <c r="F36" s="353" t="n">
        <v>0.1272</v>
      </c>
      <c r="G36" s="354">
        <f>E36*F36</f>
        <v/>
      </c>
    </row>
    <row r="37" spans="1:10">
      <c r="B37" s="6" t="s">
        <v>145</v>
      </c>
      <c r="C37" s="12" t="n">
        <v>39035</v>
      </c>
      <c r="D37" s="13" t="n">
        <v>71634</v>
      </c>
      <c r="E37" s="13" t="n">
        <v>7638</v>
      </c>
      <c r="F37" s="353" t="n">
        <v>0.1144</v>
      </c>
      <c r="G37" s="354">
        <f>E37*F37</f>
        <v/>
      </c>
    </row>
    <row r="38" spans="1:10">
      <c r="B38" s="6" t="s">
        <v>146</v>
      </c>
      <c r="C38" s="12" t="n">
        <v>39056</v>
      </c>
      <c r="D38" s="13" t="n">
        <v>75322</v>
      </c>
      <c r="E38" s="13" t="n">
        <v>3688</v>
      </c>
      <c r="F38" s="353" t="n">
        <v>0.0893</v>
      </c>
      <c r="G38" s="354">
        <f>E38*F38</f>
        <v/>
      </c>
    </row>
    <row r="39" spans="1:10">
      <c r="B39" s="6" t="s">
        <v>147</v>
      </c>
      <c r="C39" s="12" t="n">
        <v>38725</v>
      </c>
      <c r="D39" s="13" t="n">
        <v>78352</v>
      </c>
      <c r="E39" s="13" t="n">
        <v>3030</v>
      </c>
      <c r="F39" s="353" t="n">
        <v>0.09071382200188857</v>
      </c>
      <c r="G39" s="354">
        <f>E39*F39</f>
        <v/>
      </c>
    </row>
    <row r="40" spans="1:10">
      <c r="A40" s="284" t="s">
        <v>13</v>
      </c>
      <c r="B40" s="6" t="s">
        <v>133</v>
      </c>
      <c r="C40" s="12" t="n">
        <v>38747</v>
      </c>
      <c r="D40" s="13" t="n">
        <v>8065</v>
      </c>
      <c r="E40" s="13" t="n">
        <v>882</v>
      </c>
      <c r="F40" s="353">
        <f>F28</f>
        <v/>
      </c>
      <c r="G40" s="354">
        <f>E40*F40</f>
        <v/>
      </c>
    </row>
    <row r="41" spans="1:10">
      <c r="B41" s="6" t="s">
        <v>134</v>
      </c>
      <c r="C41" s="12" t="n">
        <v>38782</v>
      </c>
      <c r="D41" s="13" t="n">
        <v>9664</v>
      </c>
      <c r="E41" s="13" t="n">
        <v>1595</v>
      </c>
      <c r="F41" s="353">
        <f>F29</f>
        <v/>
      </c>
      <c r="G41" s="354">
        <f>E41*F41</f>
        <v/>
      </c>
    </row>
    <row r="42" spans="1:10">
      <c r="B42" s="6" t="s">
        <v>136</v>
      </c>
      <c r="C42" s="12" t="n">
        <v>38811</v>
      </c>
      <c r="D42" s="13" t="n">
        <v>10629</v>
      </c>
      <c r="E42" s="13" t="n">
        <v>965</v>
      </c>
      <c r="F42" s="353" t="n">
        <v>0.09687999999999999</v>
      </c>
      <c r="G42" s="354">
        <f>E42*0.09688</f>
        <v/>
      </c>
    </row>
    <row r="43" spans="1:10">
      <c r="B43" s="6" t="s">
        <v>138</v>
      </c>
      <c r="C43" s="12" t="n">
        <v>38838</v>
      </c>
      <c r="D43" s="13" t="n">
        <v>11744</v>
      </c>
      <c r="E43" s="13" t="n">
        <v>1115</v>
      </c>
      <c r="F43" s="353" t="n">
        <v>0.10269</v>
      </c>
      <c r="G43" s="354">
        <f>E43*0.10269</f>
        <v/>
      </c>
    </row>
    <row r="44" spans="1:10">
      <c r="B44" s="6" t="s">
        <v>140</v>
      </c>
      <c r="C44" s="12" t="n">
        <v>38869</v>
      </c>
      <c r="D44" s="13" t="n">
        <v>12593</v>
      </c>
      <c r="E44" s="13" t="n">
        <v>849</v>
      </c>
      <c r="F44" s="353" t="n">
        <v>0.12096</v>
      </c>
      <c r="G44" s="354">
        <f>E44*0.12096</f>
        <v/>
      </c>
    </row>
    <row r="45" spans="1:10">
      <c r="B45" s="6" t="s">
        <v>141</v>
      </c>
      <c r="C45" s="12" t="n">
        <v>38896</v>
      </c>
      <c r="D45" s="13" t="n">
        <v>12883</v>
      </c>
      <c r="E45" s="13" t="n">
        <v>290</v>
      </c>
      <c r="F45" s="353" t="n">
        <v>0.11636932</v>
      </c>
      <c r="G45" s="354">
        <f>E45*0.11636932</f>
        <v/>
      </c>
    </row>
    <row r="46" spans="1:10">
      <c r="B46" s="6" t="s">
        <v>142</v>
      </c>
      <c r="C46" s="12" t="n">
        <v>38925</v>
      </c>
      <c r="D46" s="13" t="n">
        <v>13948</v>
      </c>
      <c r="E46" s="13" t="n">
        <v>1065</v>
      </c>
      <c r="F46" s="353" t="n">
        <v>0.11636932</v>
      </c>
      <c r="G46" s="354">
        <f>E46*0.11636932</f>
        <v/>
      </c>
    </row>
    <row r="47" spans="1:10">
      <c r="B47" s="6" t="s">
        <v>143</v>
      </c>
      <c r="C47" s="12" t="n">
        <v>38965</v>
      </c>
      <c r="D47" s="13" t="n">
        <v>14825</v>
      </c>
      <c r="E47" s="13" t="n">
        <v>877</v>
      </c>
      <c r="F47" s="353" t="n">
        <v>0.11484</v>
      </c>
      <c r="G47" s="354">
        <f>E47*0.11484</f>
        <v/>
      </c>
    </row>
    <row r="48" spans="1:10">
      <c r="B48" s="6" t="s">
        <v>144</v>
      </c>
      <c r="C48" s="12" t="n">
        <v>38993</v>
      </c>
      <c r="D48" s="13" t="n">
        <v>15742</v>
      </c>
      <c r="E48" s="13" t="n">
        <v>917</v>
      </c>
      <c r="F48" s="353" t="n">
        <v>0.1272</v>
      </c>
      <c r="G48" s="354">
        <f>E48*F48</f>
        <v/>
      </c>
    </row>
    <row r="49" spans="1:10">
      <c r="B49" s="6" t="s">
        <v>145</v>
      </c>
      <c r="C49" s="12" t="n">
        <v>39035</v>
      </c>
      <c r="D49" s="13" t="n">
        <v>16958</v>
      </c>
      <c r="E49" s="13" t="n">
        <v>1216</v>
      </c>
      <c r="F49" s="353" t="n">
        <v>0.1144</v>
      </c>
      <c r="G49" s="354">
        <f>E49*F49</f>
        <v/>
      </c>
    </row>
    <row r="50" spans="1:10">
      <c r="B50" s="6" t="s">
        <v>146</v>
      </c>
      <c r="C50" s="12" t="n">
        <v>39056</v>
      </c>
      <c r="D50" s="13" t="n">
        <v>17499</v>
      </c>
      <c r="E50" s="13" t="n">
        <v>541</v>
      </c>
      <c r="F50" s="353" t="n">
        <v>0.0893</v>
      </c>
      <c r="G50" s="354">
        <f>E50*F50</f>
        <v/>
      </c>
    </row>
    <row r="51" spans="1:10">
      <c r="B51" s="6" t="s">
        <v>147</v>
      </c>
      <c r="C51" s="12" t="n">
        <v>38725</v>
      </c>
      <c r="D51" s="13" t="n">
        <v>18067</v>
      </c>
      <c r="E51" s="13" t="n">
        <v>568</v>
      </c>
      <c r="F51" s="353" t="n">
        <v>0.09071382200188857</v>
      </c>
      <c r="G51" s="354">
        <f>E51*F51</f>
        <v/>
      </c>
    </row>
    <row r="52" spans="1:10">
      <c r="A52" s="284" t="s">
        <v>14</v>
      </c>
      <c r="B52" s="6" t="s">
        <v>133</v>
      </c>
      <c r="C52" s="12" t="n">
        <v>38747</v>
      </c>
      <c r="D52" s="13" t="n">
        <v>100061</v>
      </c>
      <c r="E52" s="13" t="n">
        <v>11138</v>
      </c>
      <c r="F52" s="353">
        <f>F40</f>
        <v/>
      </c>
      <c r="G52" s="354">
        <f>E52*F52</f>
        <v/>
      </c>
    </row>
    <row r="53" spans="1:10">
      <c r="B53" s="6" t="s">
        <v>134</v>
      </c>
      <c r="C53" s="12" t="n">
        <v>38782</v>
      </c>
      <c r="D53" s="13" t="n">
        <v>120798</v>
      </c>
      <c r="E53" s="13" t="n">
        <v>20737</v>
      </c>
      <c r="F53" s="353">
        <f>F41</f>
        <v/>
      </c>
      <c r="G53" s="354">
        <f>E53*F53</f>
        <v/>
      </c>
    </row>
    <row r="54" spans="1:10">
      <c r="B54" s="6" t="s">
        <v>136</v>
      </c>
      <c r="C54" s="12" t="n">
        <v>38811</v>
      </c>
      <c r="D54" s="13" t="n">
        <v>135233</v>
      </c>
      <c r="E54" s="13" t="n">
        <v>14435</v>
      </c>
      <c r="F54" s="353" t="n">
        <v>0.09687999999999999</v>
      </c>
      <c r="G54" s="354">
        <f>E54*0.09688</f>
        <v/>
      </c>
    </row>
    <row r="55" spans="1:10">
      <c r="B55" s="6" t="s">
        <v>138</v>
      </c>
      <c r="C55" s="12" t="n">
        <v>38838</v>
      </c>
      <c r="D55" s="13" t="n">
        <v>151692</v>
      </c>
      <c r="E55" s="13" t="n">
        <v>16459</v>
      </c>
      <c r="F55" s="353" t="n">
        <v>0.10269</v>
      </c>
      <c r="G55" s="354">
        <f>E55*0.10269</f>
        <v/>
      </c>
    </row>
    <row r="56" spans="1:10">
      <c r="B56" s="6" t="s">
        <v>140</v>
      </c>
      <c r="C56" s="12" t="n">
        <v>38869</v>
      </c>
      <c r="D56" s="13" t="n">
        <v>163453</v>
      </c>
      <c r="E56" s="13" t="n">
        <v>11761</v>
      </c>
      <c r="F56" s="353" t="n">
        <v>0.12096</v>
      </c>
      <c r="G56" s="354">
        <f>E56*0.12096</f>
        <v/>
      </c>
    </row>
    <row r="57" spans="1:10">
      <c r="B57" s="6" t="s">
        <v>141</v>
      </c>
      <c r="C57" s="12" t="n">
        <v>38896</v>
      </c>
      <c r="D57" s="13" t="n">
        <v>167840</v>
      </c>
      <c r="E57" s="13" t="n">
        <v>4387</v>
      </c>
      <c r="F57" s="353" t="n">
        <v>0.11636932</v>
      </c>
      <c r="G57" s="354">
        <f>E57*0.11636932</f>
        <v/>
      </c>
    </row>
    <row r="58" spans="1:10">
      <c r="B58" s="6" t="s">
        <v>142</v>
      </c>
      <c r="C58" s="12" t="n">
        <v>38925</v>
      </c>
      <c r="D58" s="13" t="n">
        <v>173011</v>
      </c>
      <c r="E58" s="13" t="n">
        <v>5171</v>
      </c>
      <c r="F58" s="353" t="n">
        <v>0.11636932</v>
      </c>
      <c r="G58" s="354">
        <f>E58*0.11636932</f>
        <v/>
      </c>
    </row>
    <row r="59" spans="1:10">
      <c r="B59" s="6" t="s">
        <v>143</v>
      </c>
      <c r="C59" s="12" t="n">
        <v>38965</v>
      </c>
      <c r="D59" s="13" t="n">
        <v>184278</v>
      </c>
      <c r="E59" s="13" t="n">
        <v>11267</v>
      </c>
      <c r="F59" s="353" t="n">
        <v>0.11484</v>
      </c>
      <c r="G59" s="354">
        <f>E59*0.11484</f>
        <v/>
      </c>
    </row>
    <row r="60" spans="1:10">
      <c r="B60" s="6" t="s">
        <v>144</v>
      </c>
      <c r="C60" s="12" t="n">
        <v>38993</v>
      </c>
      <c r="D60" s="13" t="n">
        <v>199611</v>
      </c>
      <c r="E60" s="13" t="n">
        <v>15333</v>
      </c>
      <c r="F60" s="353" t="n">
        <v>0.1272</v>
      </c>
      <c r="G60" s="354">
        <f>E60*F60</f>
        <v/>
      </c>
    </row>
    <row r="61" spans="1:10">
      <c r="B61" s="6" t="s">
        <v>145</v>
      </c>
      <c r="C61" s="12" t="n">
        <v>39035</v>
      </c>
      <c r="D61" s="13" t="n">
        <v>223553</v>
      </c>
      <c r="E61" s="13" t="n">
        <v>23942</v>
      </c>
      <c r="F61" s="353" t="n">
        <v>0.1144</v>
      </c>
      <c r="G61" s="354">
        <f>E61*F61</f>
        <v/>
      </c>
    </row>
    <row r="62" spans="1:10">
      <c r="B62" s="6" t="s">
        <v>146</v>
      </c>
      <c r="C62" s="12" t="n">
        <v>39056</v>
      </c>
      <c r="D62" s="13" t="n">
        <v>234931</v>
      </c>
      <c r="E62" s="13" t="n">
        <v>11378</v>
      </c>
      <c r="F62" s="353" t="n">
        <v>0.0893</v>
      </c>
      <c r="G62" s="354">
        <f>E62*F62</f>
        <v/>
      </c>
    </row>
    <row r="63" spans="1:10">
      <c r="B63" s="6" t="s">
        <v>147</v>
      </c>
      <c r="C63" s="12" t="n">
        <v>38725</v>
      </c>
      <c r="D63" s="13" t="n">
        <v>244644</v>
      </c>
      <c r="E63" s="13" t="n">
        <v>9713</v>
      </c>
      <c r="F63" s="353" t="n">
        <v>0.09071382200188857</v>
      </c>
      <c r="G63" s="354">
        <f>E63*F63</f>
        <v/>
      </c>
    </row>
    <row r="64" spans="1:10">
      <c r="A64" s="284" t="s">
        <v>15</v>
      </c>
      <c r="B64" s="6" t="s">
        <v>133</v>
      </c>
      <c r="C64" s="12" t="n">
        <v>38747</v>
      </c>
      <c r="D64" s="13" t="n">
        <v>9628</v>
      </c>
      <c r="E64" s="13" t="n">
        <v>1220</v>
      </c>
      <c r="F64" s="353">
        <f>F52</f>
        <v/>
      </c>
      <c r="G64" s="354">
        <f>E64*F64</f>
        <v/>
      </c>
    </row>
    <row r="65" spans="1:10">
      <c r="B65" s="6" t="s">
        <v>134</v>
      </c>
      <c r="C65" s="12" t="n">
        <v>38782</v>
      </c>
      <c r="D65" s="13" t="n">
        <v>11206</v>
      </c>
      <c r="E65" s="13" t="n">
        <v>1576</v>
      </c>
      <c r="F65" s="353">
        <f>F53</f>
        <v/>
      </c>
      <c r="G65" s="354">
        <f>E65*F65</f>
        <v/>
      </c>
    </row>
    <row r="66" spans="1:10">
      <c r="B66" s="6" t="s">
        <v>136</v>
      </c>
      <c r="C66" s="12" t="n">
        <v>38811</v>
      </c>
      <c r="D66" s="13" t="n">
        <v>12068</v>
      </c>
      <c r="E66" s="13" t="n">
        <v>862</v>
      </c>
      <c r="F66" s="353" t="n">
        <v>0.09687999999999999</v>
      </c>
      <c r="G66" s="354">
        <f>E66*0.09688</f>
        <v/>
      </c>
    </row>
    <row r="67" spans="1:10">
      <c r="B67" s="6" t="s">
        <v>138</v>
      </c>
      <c r="C67" s="12" t="n">
        <v>38838</v>
      </c>
      <c r="D67" s="13" t="n">
        <v>13016</v>
      </c>
      <c r="E67" s="13" t="n">
        <v>948</v>
      </c>
      <c r="F67" s="353" t="n">
        <v>0.10269</v>
      </c>
      <c r="G67" s="354">
        <f>E67*0.10269</f>
        <v/>
      </c>
    </row>
    <row r="68" spans="1:10">
      <c r="B68" s="6" t="s">
        <v>140</v>
      </c>
      <c r="C68" s="12" t="n">
        <v>38869</v>
      </c>
      <c r="D68" s="13" t="n">
        <v>13993</v>
      </c>
      <c r="E68" s="13" t="n">
        <v>977</v>
      </c>
      <c r="F68" s="353" t="n">
        <v>0.12096</v>
      </c>
      <c r="G68" s="354">
        <f>E68*0.12096</f>
        <v/>
      </c>
    </row>
    <row r="69" spans="1:10">
      <c r="B69" s="6" t="s">
        <v>141</v>
      </c>
      <c r="C69" s="12" t="n">
        <v>38896</v>
      </c>
      <c r="D69" s="13" t="n">
        <v>14987</v>
      </c>
      <c r="E69" s="13" t="n">
        <v>994</v>
      </c>
      <c r="F69" s="353" t="n">
        <v>0.11636932</v>
      </c>
      <c r="G69" s="354">
        <f>E69*0.11636932</f>
        <v/>
      </c>
    </row>
    <row r="70" spans="1:10">
      <c r="B70" s="6" t="s">
        <v>142</v>
      </c>
      <c r="C70" s="12" t="n">
        <v>38925</v>
      </c>
      <c r="D70" s="13" t="n">
        <v>16161</v>
      </c>
      <c r="E70" s="13" t="n">
        <v>1174</v>
      </c>
      <c r="F70" s="353" t="n">
        <v>0.11636932</v>
      </c>
      <c r="G70" s="354">
        <f>E70*0.11636932</f>
        <v/>
      </c>
    </row>
    <row r="71" spans="1:10">
      <c r="B71" s="6" t="s">
        <v>143</v>
      </c>
      <c r="C71" s="12" t="n">
        <v>38965</v>
      </c>
      <c r="D71" s="13" t="n">
        <v>17414</v>
      </c>
      <c r="E71" s="13" t="n">
        <v>1253</v>
      </c>
      <c r="F71" s="353" t="n">
        <v>0.11484</v>
      </c>
      <c r="G71" s="354">
        <f>E71*0.11484</f>
        <v/>
      </c>
    </row>
    <row r="72" spans="1:10">
      <c r="B72" s="6" t="s">
        <v>144</v>
      </c>
      <c r="C72" s="12" t="n">
        <v>38993</v>
      </c>
      <c r="D72" s="13" t="n">
        <v>18641</v>
      </c>
      <c r="E72" s="13" t="n">
        <v>1227</v>
      </c>
      <c r="F72" s="353" t="n">
        <v>0.1272</v>
      </c>
      <c r="G72" s="354">
        <f>E72*F72</f>
        <v/>
      </c>
    </row>
    <row r="73" spans="1:10">
      <c r="B73" s="6" t="s">
        <v>145</v>
      </c>
      <c r="C73" s="12" t="n">
        <v>39035</v>
      </c>
      <c r="D73" s="13" t="n">
        <v>20104</v>
      </c>
      <c r="E73" s="13" t="n">
        <v>1463</v>
      </c>
      <c r="F73" s="353" t="n">
        <v>0.1144</v>
      </c>
      <c r="G73" s="354">
        <f>E73*F73</f>
        <v/>
      </c>
    </row>
    <row r="74" spans="1:10">
      <c r="B74" s="6" t="s">
        <v>146</v>
      </c>
      <c r="C74" s="12" t="n">
        <v>39056</v>
      </c>
      <c r="D74" s="13" t="n">
        <v>20780</v>
      </c>
      <c r="E74" s="13" t="n">
        <v>676</v>
      </c>
      <c r="F74" s="353" t="n">
        <v>0.0893</v>
      </c>
      <c r="G74" s="354">
        <f>E74*F74</f>
        <v/>
      </c>
    </row>
    <row r="75" spans="1:10">
      <c r="B75" s="6" t="s">
        <v>147</v>
      </c>
      <c r="C75" s="12" t="n">
        <v>38725</v>
      </c>
      <c r="D75" s="13" t="n">
        <v>21902</v>
      </c>
      <c r="E75" s="13" t="n">
        <v>1122</v>
      </c>
      <c r="F75" s="353" t="n">
        <v>0.09071382200188857</v>
      </c>
      <c r="G75" s="354">
        <f>E75*F75</f>
        <v/>
      </c>
    </row>
    <row r="76" spans="1:10">
      <c r="A76" s="284" t="s">
        <v>17</v>
      </c>
      <c r="B76" s="6" t="s">
        <v>133</v>
      </c>
      <c r="C76" s="12" t="n">
        <v>38747</v>
      </c>
      <c r="D76" s="13" t="n">
        <v>15610</v>
      </c>
      <c r="E76" s="13" t="n">
        <v>1762</v>
      </c>
      <c r="F76" s="353">
        <f>F64</f>
        <v/>
      </c>
      <c r="G76" s="354">
        <f>E76*F76</f>
        <v/>
      </c>
    </row>
    <row r="77" spans="1:10">
      <c r="B77" s="6" t="s">
        <v>134</v>
      </c>
      <c r="C77" s="12" t="n">
        <v>38782</v>
      </c>
      <c r="D77" s="13" t="n">
        <v>18840</v>
      </c>
      <c r="E77" s="13" t="n">
        <v>3230</v>
      </c>
      <c r="F77" s="353">
        <f>F65</f>
        <v/>
      </c>
      <c r="G77" s="354">
        <f>E77*F77</f>
        <v/>
      </c>
    </row>
    <row r="78" spans="1:10">
      <c r="B78" s="6" t="s">
        <v>136</v>
      </c>
      <c r="C78" s="12" t="n">
        <v>38811</v>
      </c>
      <c r="D78" s="13" t="n">
        <v>21103</v>
      </c>
      <c r="E78" s="13" t="n">
        <v>2263</v>
      </c>
      <c r="F78" s="353" t="n">
        <v>0.09687999999999999</v>
      </c>
      <c r="G78" s="354">
        <f>E78*0.09688</f>
        <v/>
      </c>
    </row>
    <row r="79" spans="1:10">
      <c r="B79" s="6" t="s">
        <v>138</v>
      </c>
      <c r="C79" s="12" t="n">
        <v>38838</v>
      </c>
      <c r="D79" s="13" t="n">
        <v>23592</v>
      </c>
      <c r="E79" s="13" t="n">
        <v>2489</v>
      </c>
      <c r="F79" s="353" t="n">
        <v>0.10269</v>
      </c>
      <c r="G79" s="354">
        <f>E79*0.10269</f>
        <v/>
      </c>
    </row>
    <row r="80" spans="1:10">
      <c r="B80" s="6" t="s">
        <v>140</v>
      </c>
      <c r="C80" s="12" t="n">
        <v>38869</v>
      </c>
      <c r="D80" s="13" t="n">
        <v>25437</v>
      </c>
      <c r="E80" s="13" t="n">
        <v>1845</v>
      </c>
      <c r="F80" s="353" t="n">
        <v>0.12096</v>
      </c>
      <c r="G80" s="354">
        <f>E80*0.12096</f>
        <v/>
      </c>
    </row>
    <row r="81" spans="1:10">
      <c r="B81" s="6" t="s">
        <v>141</v>
      </c>
      <c r="C81" s="12" t="n">
        <v>38896</v>
      </c>
      <c r="D81" s="13" t="n">
        <v>26075</v>
      </c>
      <c r="E81" s="13" t="n">
        <v>638</v>
      </c>
      <c r="F81" s="353" t="n">
        <v>0.11636932</v>
      </c>
      <c r="G81" s="354">
        <f>E81*0.11636932</f>
        <v/>
      </c>
    </row>
    <row r="82" spans="1:10">
      <c r="B82" s="6" t="s">
        <v>142</v>
      </c>
      <c r="C82" s="12" t="n">
        <v>38925</v>
      </c>
      <c r="D82" s="13" t="n">
        <v>27443</v>
      </c>
      <c r="E82" s="13" t="n">
        <v>1368</v>
      </c>
      <c r="F82" s="353" t="n">
        <v>0.11636932</v>
      </c>
      <c r="G82" s="354">
        <f>E82*0.11636932</f>
        <v/>
      </c>
    </row>
    <row r="83" spans="1:10">
      <c r="B83" s="6" t="s">
        <v>143</v>
      </c>
      <c r="C83" s="12" t="n">
        <v>38965</v>
      </c>
      <c r="D83" s="13" t="n">
        <v>29313</v>
      </c>
      <c r="E83" s="13" t="n">
        <v>1870</v>
      </c>
      <c r="F83" s="353" t="n">
        <v>0.11484</v>
      </c>
      <c r="G83" s="354">
        <f>E83*0.11484</f>
        <v/>
      </c>
    </row>
    <row r="84" spans="1:10">
      <c r="B84" s="6" t="s">
        <v>144</v>
      </c>
      <c r="C84" s="12" t="n">
        <v>38993</v>
      </c>
      <c r="D84" s="13" t="n">
        <v>31784</v>
      </c>
      <c r="E84" s="13" t="n">
        <v>2471</v>
      </c>
      <c r="F84" s="353" t="n">
        <v>0.1272</v>
      </c>
      <c r="G84" s="354">
        <f>E84*F84</f>
        <v/>
      </c>
    </row>
    <row r="85" spans="1:10">
      <c r="B85" s="6" t="s">
        <v>145</v>
      </c>
      <c r="C85" s="12" t="n">
        <v>39035</v>
      </c>
      <c r="D85" s="13" t="n">
        <v>35317</v>
      </c>
      <c r="E85" s="13" t="n">
        <v>3533</v>
      </c>
      <c r="F85" s="353" t="n">
        <v>0.1144</v>
      </c>
      <c r="G85" s="354">
        <f>E85*F85</f>
        <v/>
      </c>
    </row>
    <row r="86" spans="1:10">
      <c r="B86" s="6" t="s">
        <v>146</v>
      </c>
      <c r="C86" s="12" t="n">
        <v>39056</v>
      </c>
      <c r="D86" s="13" t="n">
        <v>37042</v>
      </c>
      <c r="E86" s="13" t="n">
        <v>1725</v>
      </c>
      <c r="F86" s="353" t="n">
        <v>0.0893</v>
      </c>
      <c r="G86" s="354">
        <f>E86*F86</f>
        <v/>
      </c>
    </row>
    <row r="87" spans="1:10">
      <c r="B87" s="6" t="s">
        <v>147</v>
      </c>
      <c r="C87" s="12" t="n">
        <v>38725</v>
      </c>
      <c r="D87" s="13" t="n">
        <v>38380</v>
      </c>
      <c r="E87" s="13" t="n">
        <v>1338</v>
      </c>
      <c r="F87" s="353" t="n">
        <v>0.09071382200188857</v>
      </c>
      <c r="G87" s="354">
        <f>E87*F87</f>
        <v/>
      </c>
    </row>
    <row r="88" spans="1:10">
      <c r="A88" s="284" t="s">
        <v>94</v>
      </c>
      <c r="B88" s="6" t="s">
        <v>133</v>
      </c>
      <c r="C88" s="12" t="n">
        <v>38747</v>
      </c>
      <c r="D88" s="13" t="n">
        <v>14754</v>
      </c>
      <c r="E88" s="13" t="n">
        <v>1951</v>
      </c>
      <c r="F88" s="353">
        <f>F76</f>
        <v/>
      </c>
      <c r="G88" s="354">
        <f>E88*F88</f>
        <v/>
      </c>
    </row>
    <row r="89" spans="1:10">
      <c r="B89" s="6" t="s">
        <v>134</v>
      </c>
      <c r="C89" s="12" t="n">
        <v>38782</v>
      </c>
      <c r="D89" s="13" t="n">
        <v>18436</v>
      </c>
      <c r="E89" s="13" t="n">
        <v>3682</v>
      </c>
      <c r="F89" s="353">
        <f>F77</f>
        <v/>
      </c>
      <c r="G89" s="354">
        <f>E89*F89</f>
        <v/>
      </c>
    </row>
    <row r="90" spans="1:10">
      <c r="B90" s="6" t="s">
        <v>136</v>
      </c>
      <c r="C90" s="12" t="n">
        <v>38811</v>
      </c>
      <c r="D90" s="13" t="n">
        <v>21034</v>
      </c>
      <c r="E90" s="13" t="n">
        <v>2598</v>
      </c>
      <c r="F90" s="353" t="n">
        <v>0.09687999999999999</v>
      </c>
      <c r="G90" s="354">
        <f>E90*0.09688</f>
        <v/>
      </c>
    </row>
    <row r="91" spans="1:10">
      <c r="B91" s="6" t="s">
        <v>138</v>
      </c>
      <c r="C91" s="12" t="n">
        <v>38838</v>
      </c>
      <c r="D91" s="13" t="n">
        <v>23689</v>
      </c>
      <c r="E91" s="13" t="n">
        <v>2655</v>
      </c>
      <c r="F91" s="353" t="n">
        <v>0.10269</v>
      </c>
      <c r="G91" s="354">
        <f>E91*0.10269</f>
        <v/>
      </c>
    </row>
    <row r="92" spans="1:10">
      <c r="B92" s="6" t="s">
        <v>140</v>
      </c>
      <c r="C92" s="12" t="n">
        <v>38869</v>
      </c>
      <c r="D92" s="13" t="n">
        <v>25567</v>
      </c>
      <c r="E92" s="13" t="n">
        <v>1878</v>
      </c>
      <c r="F92" s="353" t="n">
        <v>0.12096</v>
      </c>
      <c r="G92" s="354">
        <f>E92*0.12096</f>
        <v/>
      </c>
    </row>
    <row r="93" spans="1:10">
      <c r="B93" s="6" t="s">
        <v>141</v>
      </c>
      <c r="C93" s="12" t="n">
        <v>38896</v>
      </c>
      <c r="D93" s="13" t="n">
        <v>26114</v>
      </c>
      <c r="E93" s="13" t="n">
        <v>547</v>
      </c>
      <c r="F93" s="353" t="n">
        <v>0.11636932</v>
      </c>
      <c r="G93" s="354">
        <f>E93*0.11636932</f>
        <v/>
      </c>
    </row>
    <row r="94" spans="1:10">
      <c r="B94" s="6" t="s">
        <v>142</v>
      </c>
      <c r="C94" s="12" t="n">
        <v>38925</v>
      </c>
      <c r="D94" s="13" t="n">
        <v>27068</v>
      </c>
      <c r="E94" s="13" t="n">
        <v>954</v>
      </c>
      <c r="F94" s="353" t="n">
        <v>0.11636932</v>
      </c>
      <c r="G94" s="354">
        <f>E94*0.11636932</f>
        <v/>
      </c>
    </row>
    <row r="95" spans="1:10">
      <c r="B95" s="6" t="s">
        <v>143</v>
      </c>
      <c r="C95" s="12" t="n">
        <v>38965</v>
      </c>
      <c r="D95" s="13" t="n">
        <v>28320</v>
      </c>
      <c r="E95" s="13" t="n">
        <v>1252</v>
      </c>
      <c r="F95" s="353" t="n">
        <v>0.11484</v>
      </c>
      <c r="G95" s="354">
        <f>E95*0.11484</f>
        <v/>
      </c>
    </row>
    <row r="96" spans="1:10">
      <c r="B96" s="6" t="s">
        <v>144</v>
      </c>
      <c r="C96" s="12" t="n">
        <v>38993</v>
      </c>
      <c r="D96" s="13" t="n">
        <v>30054</v>
      </c>
      <c r="E96" s="13" t="n">
        <v>1734</v>
      </c>
      <c r="F96" s="353" t="n">
        <v>0.1272</v>
      </c>
      <c r="G96" s="354">
        <f>E96*F96</f>
        <v/>
      </c>
    </row>
    <row r="97" spans="1:10">
      <c r="B97" s="6" t="s">
        <v>145</v>
      </c>
      <c r="C97" s="12" t="n">
        <v>39035</v>
      </c>
      <c r="D97" s="13" t="n">
        <v>32847</v>
      </c>
      <c r="E97" s="13" t="n">
        <v>2793</v>
      </c>
      <c r="F97" s="353" t="n">
        <v>0.1144</v>
      </c>
      <c r="G97" s="354">
        <f>E97*F97</f>
        <v/>
      </c>
    </row>
    <row r="98" spans="1:10">
      <c r="B98" s="6" t="s">
        <v>146</v>
      </c>
      <c r="C98" s="12" t="n">
        <v>39056</v>
      </c>
      <c r="D98" s="13" t="n">
        <v>34080</v>
      </c>
      <c r="E98" s="13" t="n">
        <v>1233</v>
      </c>
      <c r="F98" s="353" t="n">
        <v>0.0893</v>
      </c>
      <c r="G98" s="354">
        <f>E98*F98</f>
        <v/>
      </c>
    </row>
    <row r="99" spans="1:10">
      <c r="B99" s="6" t="s">
        <v>147</v>
      </c>
      <c r="C99" s="12" t="n">
        <v>38725</v>
      </c>
      <c r="D99" s="13" t="n">
        <v>35209</v>
      </c>
      <c r="E99" s="13" t="n">
        <v>1129</v>
      </c>
      <c r="F99" s="353" t="n">
        <v>0.09071382200188857</v>
      </c>
      <c r="G99" s="354">
        <f>E99*F99</f>
        <v/>
      </c>
    </row>
    <row r="100" spans="1:10">
      <c r="A100" s="284" t="s">
        <v>95</v>
      </c>
      <c r="B100" s="6" t="s">
        <v>133</v>
      </c>
      <c r="C100" s="12" t="n">
        <v>38747</v>
      </c>
      <c r="D100" s="13" t="n">
        <v>23118</v>
      </c>
      <c r="E100" s="13" t="n">
        <v>2342</v>
      </c>
      <c r="F100" s="353">
        <f>F88</f>
        <v/>
      </c>
      <c r="G100" s="354">
        <f>E100*F100</f>
        <v/>
      </c>
    </row>
    <row r="101" spans="1:10">
      <c r="B101" s="6" t="s">
        <v>134</v>
      </c>
      <c r="C101" s="12" t="n">
        <v>38782</v>
      </c>
      <c r="D101" s="13" t="n">
        <v>27826</v>
      </c>
      <c r="E101" s="13" t="n">
        <v>4706</v>
      </c>
      <c r="F101" s="353">
        <f>F89</f>
        <v/>
      </c>
      <c r="G101" s="354">
        <f>E101*F101</f>
        <v/>
      </c>
    </row>
    <row r="102" spans="1:10">
      <c r="B102" s="6" t="s">
        <v>136</v>
      </c>
      <c r="C102" s="12" t="n">
        <v>38811</v>
      </c>
      <c r="D102" s="13" t="n">
        <v>31063</v>
      </c>
      <c r="E102" s="13" t="n">
        <v>3237</v>
      </c>
      <c r="F102" s="353" t="n">
        <v>0.09687999999999999</v>
      </c>
      <c r="G102" s="354">
        <f>E102*0.09688</f>
        <v/>
      </c>
    </row>
    <row r="103" spans="1:10">
      <c r="B103" s="6" t="s">
        <v>138</v>
      </c>
      <c r="C103" s="12" t="n">
        <v>38838</v>
      </c>
      <c r="D103" s="13" t="n">
        <v>34593</v>
      </c>
      <c r="E103" s="13" t="n">
        <v>3530</v>
      </c>
      <c r="F103" s="353" t="n">
        <v>0.10269</v>
      </c>
      <c r="G103" s="354">
        <f>E103*0.10269</f>
        <v/>
      </c>
    </row>
    <row r="104" spans="1:10">
      <c r="B104" s="6" t="s">
        <v>140</v>
      </c>
      <c r="C104" s="12" t="n">
        <v>38869</v>
      </c>
      <c r="D104" s="13" t="n">
        <v>37128</v>
      </c>
      <c r="E104" s="13" t="n">
        <v>2535</v>
      </c>
      <c r="F104" s="353" t="n">
        <v>0.12096</v>
      </c>
      <c r="G104" s="354">
        <f>E104*0.12096</f>
        <v/>
      </c>
    </row>
    <row r="105" spans="1:10">
      <c r="B105" s="6" t="s">
        <v>141</v>
      </c>
      <c r="C105" s="12" t="n">
        <v>38896</v>
      </c>
      <c r="D105" s="13" t="n">
        <v>37996</v>
      </c>
      <c r="E105" s="13" t="n">
        <v>868</v>
      </c>
      <c r="F105" s="353" t="n">
        <v>0.11636932</v>
      </c>
      <c r="G105" s="354">
        <f>E105*0.11636932</f>
        <v/>
      </c>
    </row>
    <row r="106" spans="1:10">
      <c r="B106" s="6" t="s">
        <v>142</v>
      </c>
      <c r="C106" s="12" t="n">
        <v>38925</v>
      </c>
      <c r="D106" s="13" t="n">
        <v>39535</v>
      </c>
      <c r="E106" s="13" t="n">
        <v>1539</v>
      </c>
      <c r="F106" s="353" t="n">
        <v>0.11636932</v>
      </c>
      <c r="G106" s="354">
        <f>E106*0.11636932</f>
        <v/>
      </c>
    </row>
    <row r="107" spans="1:10">
      <c r="B107" s="6" t="s">
        <v>143</v>
      </c>
      <c r="C107" s="12" t="n">
        <v>38965</v>
      </c>
      <c r="D107" s="13" t="n">
        <v>41954</v>
      </c>
      <c r="E107" s="13" t="n">
        <v>2419</v>
      </c>
      <c r="F107" s="353" t="n">
        <v>0.11484</v>
      </c>
      <c r="G107" s="354">
        <f>E107*0.11484</f>
        <v/>
      </c>
    </row>
    <row r="108" spans="1:10">
      <c r="B108" s="6" t="s">
        <v>144</v>
      </c>
      <c r="C108" s="12" t="n">
        <v>38993</v>
      </c>
      <c r="D108" s="13" t="n">
        <v>44713</v>
      </c>
      <c r="E108" s="13" t="n">
        <v>2759</v>
      </c>
      <c r="F108" s="353" t="n">
        <v>0.1272</v>
      </c>
      <c r="G108" s="354">
        <f>E108*F108</f>
        <v/>
      </c>
    </row>
    <row r="109" spans="1:10">
      <c r="B109" s="6" t="s">
        <v>145</v>
      </c>
      <c r="C109" s="12" t="n">
        <v>39035</v>
      </c>
      <c r="D109" s="13" t="n">
        <v>48845</v>
      </c>
      <c r="E109" s="13" t="n">
        <v>4132</v>
      </c>
      <c r="F109" s="353" t="n">
        <v>0.1144</v>
      </c>
      <c r="G109" s="354">
        <f>E109*F109</f>
        <v/>
      </c>
    </row>
    <row r="110" spans="1:10">
      <c r="B110" s="6" t="s">
        <v>146</v>
      </c>
      <c r="C110" s="12" t="n">
        <v>39056</v>
      </c>
      <c r="D110" s="13" t="n">
        <v>50765</v>
      </c>
      <c r="E110" s="13" t="n">
        <v>1920</v>
      </c>
      <c r="F110" s="353" t="n">
        <v>0.0893</v>
      </c>
      <c r="G110" s="354">
        <f>E110*F110</f>
        <v/>
      </c>
    </row>
    <row r="111" spans="1:10">
      <c r="B111" s="6" t="s">
        <v>147</v>
      </c>
      <c r="C111" s="12" t="n">
        <v>38725</v>
      </c>
      <c r="D111" s="13" t="n">
        <v>52490</v>
      </c>
      <c r="E111" s="13" t="n">
        <v>1725</v>
      </c>
      <c r="F111" s="353" t="n">
        <v>0.09071382200188857</v>
      </c>
      <c r="G111" s="354">
        <f>E111*F111</f>
        <v/>
      </c>
    </row>
    <row r="112" spans="1:10">
      <c r="A112" s="284" t="s">
        <v>21</v>
      </c>
      <c r="B112" s="6" t="s">
        <v>133</v>
      </c>
      <c r="C112" s="12" t="n">
        <v>38747</v>
      </c>
      <c r="D112" s="13" t="n">
        <v>23547</v>
      </c>
      <c r="E112" s="13" t="n">
        <v>2437</v>
      </c>
      <c r="F112" s="353">
        <f>F100</f>
        <v/>
      </c>
      <c r="G112" s="354">
        <f>E112*F112</f>
        <v/>
      </c>
    </row>
    <row r="113" spans="1:10">
      <c r="B113" s="6" t="s">
        <v>134</v>
      </c>
      <c r="C113" s="12" t="n">
        <v>38782</v>
      </c>
      <c r="D113" s="13" t="n">
        <v>28027</v>
      </c>
      <c r="E113" s="13" t="n">
        <v>4480</v>
      </c>
      <c r="F113" s="353">
        <f>F101</f>
        <v/>
      </c>
      <c r="G113" s="354">
        <f>E113*F113</f>
        <v/>
      </c>
    </row>
    <row r="114" spans="1:10">
      <c r="B114" s="6" t="s">
        <v>136</v>
      </c>
      <c r="C114" s="12" t="n">
        <v>38811</v>
      </c>
      <c r="D114" s="13" t="n">
        <v>30998</v>
      </c>
      <c r="E114" s="13" t="n">
        <v>2971</v>
      </c>
      <c r="F114" s="353" t="n">
        <v>0.09687999999999999</v>
      </c>
      <c r="G114" s="354">
        <f>E114*0.09688</f>
        <v/>
      </c>
    </row>
    <row r="115" spans="1:10">
      <c r="B115" s="6" t="s">
        <v>138</v>
      </c>
      <c r="C115" s="12" t="n">
        <v>38838</v>
      </c>
      <c r="D115" s="13" t="n">
        <v>34514</v>
      </c>
      <c r="E115" s="13" t="n">
        <v>3516</v>
      </c>
      <c r="F115" s="353" t="n">
        <v>0.10269</v>
      </c>
      <c r="G115" s="354">
        <f>E115*0.10269</f>
        <v/>
      </c>
    </row>
    <row r="116" spans="1:10">
      <c r="B116" s="6" t="s">
        <v>140</v>
      </c>
      <c r="C116" s="12" t="n">
        <v>38869</v>
      </c>
      <c r="D116" s="13" t="n">
        <v>37305</v>
      </c>
      <c r="E116" s="13" t="n">
        <v>2791</v>
      </c>
      <c r="F116" s="353" t="n">
        <v>0.12096</v>
      </c>
      <c r="G116" s="354">
        <f>E116*0.12096</f>
        <v/>
      </c>
    </row>
    <row r="117" spans="1:10">
      <c r="B117" s="6" t="s">
        <v>141</v>
      </c>
      <c r="C117" s="12" t="n">
        <v>38896</v>
      </c>
      <c r="D117" s="13" t="n">
        <v>38173</v>
      </c>
      <c r="E117" s="13" t="n">
        <v>868</v>
      </c>
      <c r="F117" s="353" t="n">
        <v>0.11636932</v>
      </c>
      <c r="G117" s="354">
        <f>E117*0.11636932</f>
        <v/>
      </c>
    </row>
    <row r="118" spans="1:10">
      <c r="B118" s="6" t="s">
        <v>142</v>
      </c>
      <c r="C118" s="12" t="n">
        <v>38925</v>
      </c>
      <c r="D118" s="13" t="n">
        <v>40181</v>
      </c>
      <c r="E118" s="13" t="n">
        <v>2008</v>
      </c>
      <c r="F118" s="353" t="n">
        <v>0.11636932</v>
      </c>
      <c r="G118" s="354">
        <f>E118*0.11636932</f>
        <v/>
      </c>
    </row>
    <row r="119" spans="1:10">
      <c r="B119" s="6" t="s">
        <v>143</v>
      </c>
      <c r="C119" s="12" t="n">
        <v>38965</v>
      </c>
      <c r="D119" s="13" t="n">
        <v>42387</v>
      </c>
      <c r="E119" s="13" t="n">
        <v>2206</v>
      </c>
      <c r="F119" s="353" t="n">
        <v>0.11484</v>
      </c>
      <c r="G119" s="354">
        <f>E119*0.11484</f>
        <v/>
      </c>
    </row>
    <row r="120" spans="1:10">
      <c r="B120" s="6" t="s">
        <v>144</v>
      </c>
      <c r="C120" s="12" t="n">
        <v>38993</v>
      </c>
      <c r="D120" s="13" t="n">
        <v>43485</v>
      </c>
      <c r="E120" s="13" t="n">
        <v>1098</v>
      </c>
      <c r="F120" s="353" t="n">
        <v>0.1272</v>
      </c>
      <c r="G120" s="354">
        <f>E120*F120</f>
        <v/>
      </c>
    </row>
    <row r="121" spans="1:10">
      <c r="B121" s="6" t="s">
        <v>145</v>
      </c>
      <c r="C121" s="12" t="n">
        <v>39035</v>
      </c>
      <c r="D121" s="13" t="n">
        <v>44489</v>
      </c>
      <c r="E121" s="13" t="n">
        <v>1004</v>
      </c>
      <c r="F121" s="353" t="n">
        <v>0.1144</v>
      </c>
      <c r="G121" s="354">
        <f>E121*F121</f>
        <v/>
      </c>
    </row>
    <row r="122" spans="1:10">
      <c r="B122" s="6" t="s">
        <v>146</v>
      </c>
      <c r="C122" s="12" t="n">
        <v>39056</v>
      </c>
      <c r="D122" s="13" t="n">
        <v>44895</v>
      </c>
      <c r="E122" s="13" t="n">
        <v>406</v>
      </c>
      <c r="F122" s="353" t="n">
        <v>0.0893</v>
      </c>
      <c r="G122" s="354">
        <f>E122*F122</f>
        <v/>
      </c>
    </row>
    <row r="123" spans="1:10">
      <c r="B123" s="6" t="s">
        <v>147</v>
      </c>
      <c r="C123" s="12" t="n">
        <v>38725</v>
      </c>
      <c r="D123" s="13" t="n">
        <v>45532</v>
      </c>
      <c r="E123" s="13" t="n">
        <v>632</v>
      </c>
      <c r="F123" s="353" t="n">
        <v>0.09071382200188857</v>
      </c>
      <c r="G123" s="354">
        <f>E123*F123</f>
        <v/>
      </c>
    </row>
    <row r="124" spans="1:10">
      <c r="A124" s="284" t="s">
        <v>96</v>
      </c>
      <c r="B124" s="6" t="s">
        <v>133</v>
      </c>
      <c r="C124" s="12" t="n">
        <v>38747</v>
      </c>
      <c r="D124" s="13" t="n">
        <v>46264</v>
      </c>
      <c r="E124" s="13" t="n">
        <v>5067</v>
      </c>
      <c r="F124" s="353">
        <f>F112</f>
        <v/>
      </c>
      <c r="G124" s="354">
        <f>E124*F124</f>
        <v/>
      </c>
    </row>
    <row r="125" spans="1:10">
      <c r="B125" s="6" t="s">
        <v>134</v>
      </c>
      <c r="C125" s="12" t="n">
        <v>38782</v>
      </c>
      <c r="D125" s="13" t="n">
        <v>55732</v>
      </c>
      <c r="E125" s="13" t="n">
        <v>9468</v>
      </c>
      <c r="F125" s="353">
        <f>F113</f>
        <v/>
      </c>
      <c r="G125" s="354">
        <f>E125*F125</f>
        <v/>
      </c>
    </row>
    <row r="126" spans="1:10">
      <c r="B126" s="6" t="s">
        <v>136</v>
      </c>
      <c r="C126" s="12" t="n">
        <v>38811</v>
      </c>
      <c r="D126" s="13" t="n">
        <v>62119</v>
      </c>
      <c r="E126" s="13" t="n">
        <v>6387</v>
      </c>
      <c r="F126" s="353" t="n">
        <v>0.09687999999999999</v>
      </c>
      <c r="G126" s="354">
        <f>E126*0.09688</f>
        <v/>
      </c>
    </row>
    <row r="127" spans="1:10">
      <c r="B127" s="6" t="s">
        <v>138</v>
      </c>
      <c r="C127" s="12" t="n">
        <v>38838</v>
      </c>
      <c r="D127" s="13" t="n">
        <v>68913</v>
      </c>
      <c r="E127" s="13" t="n">
        <v>6794</v>
      </c>
      <c r="F127" s="353" t="n">
        <v>0.10269</v>
      </c>
      <c r="G127" s="354">
        <f>E127*0.10269</f>
        <v/>
      </c>
    </row>
    <row r="128" spans="1:10">
      <c r="B128" s="6" t="s">
        <v>140</v>
      </c>
      <c r="C128" s="12" t="n">
        <v>38869</v>
      </c>
      <c r="D128" s="13" t="n">
        <v>73696</v>
      </c>
      <c r="E128" s="13" t="n">
        <v>4783</v>
      </c>
      <c r="F128" s="353" t="n">
        <v>0.12096</v>
      </c>
      <c r="G128" s="354">
        <f>E128*0.12096</f>
        <v/>
      </c>
    </row>
    <row r="129" spans="1:10">
      <c r="B129" s="6" t="s">
        <v>141</v>
      </c>
      <c r="C129" s="12" t="n">
        <v>38896</v>
      </c>
      <c r="D129" s="13" t="n">
        <v>75679</v>
      </c>
      <c r="E129" s="13" t="n">
        <v>1983</v>
      </c>
      <c r="F129" s="353" t="n">
        <v>0.11636932</v>
      </c>
      <c r="G129" s="354">
        <f>E129*0.11636932</f>
        <v/>
      </c>
    </row>
    <row r="130" spans="1:10">
      <c r="B130" s="6" t="s">
        <v>142</v>
      </c>
      <c r="C130" s="12" t="n">
        <v>38925</v>
      </c>
      <c r="D130" s="13" t="n">
        <v>79130</v>
      </c>
      <c r="E130" s="13" t="n">
        <v>3451</v>
      </c>
      <c r="F130" s="353" t="n">
        <v>0.11636932</v>
      </c>
      <c r="G130" s="354">
        <f>E130*0.11636932</f>
        <v/>
      </c>
    </row>
    <row r="131" spans="1:10">
      <c r="B131" s="6" t="s">
        <v>143</v>
      </c>
      <c r="C131" s="12" t="n">
        <v>38965</v>
      </c>
      <c r="D131" s="13" t="n">
        <v>84495</v>
      </c>
      <c r="E131" s="13" t="n">
        <v>5365</v>
      </c>
      <c r="F131" s="353" t="n">
        <v>0.11484</v>
      </c>
      <c r="G131" s="354">
        <f>E131*0.11484</f>
        <v/>
      </c>
    </row>
    <row r="132" spans="1:10">
      <c r="B132" s="6" t="s">
        <v>144</v>
      </c>
      <c r="C132" s="12" t="n">
        <v>38993</v>
      </c>
      <c r="D132" s="13" t="n">
        <v>87892</v>
      </c>
      <c r="E132" s="13" t="n">
        <v>3397</v>
      </c>
      <c r="F132" s="353" t="n">
        <v>0.1272</v>
      </c>
      <c r="G132" s="354">
        <f>E132*F132</f>
        <v/>
      </c>
    </row>
    <row r="133" spans="1:10">
      <c r="B133" s="6" t="s">
        <v>145</v>
      </c>
      <c r="C133" s="12" t="n">
        <v>39035</v>
      </c>
      <c r="D133" s="13" t="n">
        <v>92145</v>
      </c>
      <c r="E133" s="13" t="n">
        <v>4253</v>
      </c>
      <c r="F133" s="353" t="n">
        <v>0.1144</v>
      </c>
      <c r="G133" s="354">
        <f>E133*F133</f>
        <v/>
      </c>
    </row>
    <row r="134" spans="1:10">
      <c r="B134" s="6" t="s">
        <v>146</v>
      </c>
      <c r="C134" s="12" t="n">
        <v>39056</v>
      </c>
      <c r="D134" s="13" t="n">
        <v>94587</v>
      </c>
      <c r="E134" s="13" t="n">
        <v>2442</v>
      </c>
      <c r="F134" s="353" t="n">
        <v>0.0893</v>
      </c>
      <c r="G134" s="354">
        <f>E134*F134</f>
        <v/>
      </c>
    </row>
    <row r="135" spans="1:10">
      <c r="B135" s="6" t="s">
        <v>147</v>
      </c>
      <c r="C135" s="12" t="n">
        <v>38725</v>
      </c>
      <c r="D135" s="13" t="n">
        <v>98476</v>
      </c>
      <c r="E135" s="13" t="n">
        <v>3889</v>
      </c>
      <c r="F135" s="353" t="n">
        <v>0.09071382200188857</v>
      </c>
      <c r="G135" s="354">
        <f>E135*F135</f>
        <v/>
      </c>
    </row>
    <row r="136" spans="1:10">
      <c r="G136" s="356" t="n"/>
    </row>
    <row r="137" spans="1:10">
      <c r="A137" s="8" t="s">
        <v>34</v>
      </c>
      <c r="G137" s="356" t="n"/>
    </row>
    <row r="138" spans="1:10">
      <c r="A138" s="8" t="s">
        <v>69</v>
      </c>
      <c r="G138" s="356" t="n"/>
    </row>
    <row r="139" spans="1:10">
      <c r="A139" s="8" t="n"/>
      <c r="G139" s="356" t="n"/>
    </row>
    <row r="140" spans="1:10">
      <c r="G140" s="356" t="n"/>
    </row>
    <row r="141" spans="1:10">
      <c r="G141" s="356" t="n"/>
    </row>
    <row r="142" spans="1:10">
      <c r="G142" s="356" t="n"/>
    </row>
    <row r="143" spans="1:10">
      <c r="G143" s="356" t="n"/>
    </row>
    <row r="144" spans="1:10">
      <c r="G144" s="356" t="n"/>
    </row>
    <row r="145" spans="1:10">
      <c r="G145" s="356" t="n"/>
    </row>
    <row r="146" spans="1:10">
      <c r="G146" s="356" t="n"/>
    </row>
    <row r="147" spans="1:10">
      <c r="G147" s="356" t="n"/>
    </row>
    <row r="148" spans="1:10">
      <c r="G148" s="356" t="n"/>
    </row>
    <row r="149" spans="1:10">
      <c r="G149" s="356" t="n"/>
    </row>
    <row r="150" spans="1:10">
      <c r="G150" s="356" t="n"/>
    </row>
    <row r="151" spans="1:10">
      <c r="G151" s="356" t="n"/>
    </row>
    <row r="152" spans="1:10">
      <c r="G152" s="356" t="n"/>
    </row>
    <row r="153" spans="1:10">
      <c r="G153" s="356" t="n"/>
    </row>
    <row r="154" spans="1:10">
      <c r="G154" s="356" t="n"/>
    </row>
    <row r="155" spans="1:10">
      <c r="G155" s="356" t="n"/>
    </row>
    <row r="156" spans="1:10">
      <c r="G156" s="356" t="n"/>
    </row>
    <row r="157" spans="1:10">
      <c r="G157" s="356" t="n"/>
    </row>
    <row r="158" spans="1:10">
      <c r="G158" s="356" t="n"/>
    </row>
    <row r="159" spans="1:10">
      <c r="G159" s="356" t="n"/>
    </row>
    <row r="160" spans="1:10">
      <c r="G160" s="356" t="n"/>
    </row>
    <row r="161" spans="1:10">
      <c r="G161" s="356" t="n"/>
    </row>
    <row r="162" spans="1:10">
      <c r="G162" s="356" t="n"/>
    </row>
    <row r="163" spans="1:10">
      <c r="G163" s="356" t="n"/>
    </row>
    <row r="164" spans="1:10">
      <c r="G164" s="356" t="n"/>
    </row>
    <row r="165" spans="1:10">
      <c r="G165" s="356" t="n"/>
    </row>
    <row r="166" spans="1:10">
      <c r="G166" s="356" t="n"/>
    </row>
    <row r="167" spans="1:10">
      <c r="G167" s="356" t="n"/>
    </row>
    <row r="168" spans="1:10">
      <c r="G168" s="356" t="n"/>
    </row>
    <row r="169" spans="1:10">
      <c r="G169" s="356" t="n"/>
    </row>
    <row r="170" spans="1:10">
      <c r="G170" s="356" t="n"/>
    </row>
    <row r="171" spans="1:10">
      <c r="G171" s="356" t="n"/>
    </row>
    <row r="172" spans="1:10">
      <c r="G172" s="356" t="n"/>
    </row>
    <row r="173" spans="1:10">
      <c r="G173" s="356" t="n"/>
    </row>
    <row r="174" spans="1:10">
      <c r="G174" s="356" t="n"/>
    </row>
    <row r="175" spans="1:10">
      <c r="G175" s="356" t="n"/>
    </row>
    <row r="176" spans="1:10">
      <c r="G176" s="356" t="n"/>
    </row>
    <row r="177" spans="1:10">
      <c r="G177" s="356" t="n"/>
    </row>
    <row r="178" spans="1:10">
      <c r="G178" s="356" t="n"/>
    </row>
    <row r="179" spans="1:10">
      <c r="G179" s="356" t="n"/>
    </row>
    <row r="180" spans="1:10">
      <c r="G180" s="356" t="n"/>
    </row>
    <row r="181" spans="1:10">
      <c r="G181" s="356" t="n"/>
    </row>
    <row r="182" spans="1:10">
      <c r="G182" s="356" t="n"/>
    </row>
    <row r="183" spans="1:10">
      <c r="G183" s="356" t="n"/>
    </row>
    <row r="184" spans="1:10">
      <c r="G184" s="356" t="n"/>
    </row>
    <row r="185" spans="1:10">
      <c r="G185" s="356" t="n"/>
    </row>
    <row r="186" spans="1:10">
      <c r="G186" s="356" t="n"/>
    </row>
    <row r="187" spans="1:10">
      <c r="G187" s="356" t="n"/>
    </row>
    <row r="188" spans="1:10">
      <c r="G188" s="356" t="n"/>
    </row>
    <row r="189" spans="1:10">
      <c r="G189" s="356" t="n"/>
    </row>
    <row r="190" spans="1:10">
      <c r="G190" s="356" t="n"/>
    </row>
    <row r="191" spans="1:10">
      <c r="G191" s="356" t="n"/>
    </row>
    <row r="192" spans="1:10">
      <c r="G192" s="356" t="n"/>
    </row>
    <row r="193" spans="1:10">
      <c r="G193" s="356" t="n"/>
    </row>
    <row r="194" spans="1:10">
      <c r="G194" s="356" t="n"/>
    </row>
    <row r="195" spans="1:10">
      <c r="G195" s="356" t="n"/>
    </row>
    <row r="196" spans="1:10">
      <c r="G196" s="356" t="n"/>
    </row>
    <row r="197" spans="1:10">
      <c r="G197" s="356" t="n"/>
    </row>
    <row r="198" spans="1:10">
      <c r="G198" s="356" t="n"/>
    </row>
    <row r="199" spans="1:10">
      <c r="G199" s="356" t="n"/>
    </row>
    <row r="200" spans="1:10">
      <c r="G200" s="356" t="n"/>
    </row>
    <row r="201" spans="1:10">
      <c r="G201" s="356" t="n"/>
    </row>
    <row r="202" spans="1:10">
      <c r="G202" s="356" t="n"/>
    </row>
    <row r="203" spans="1:10">
      <c r="G203" s="356" t="n"/>
    </row>
    <row r="204" spans="1:10">
      <c r="G204" s="356" t="n"/>
    </row>
    <row r="205" spans="1:10">
      <c r="G205" s="356" t="n"/>
    </row>
    <row r="206" spans="1:10">
      <c r="G206" s="356" t="n"/>
    </row>
    <row r="207" spans="1:10">
      <c r="G207" s="356" t="n"/>
    </row>
    <row r="208" spans="1:10">
      <c r="G208" s="356" t="n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bottom="0.5" footer="0.5" header="0.5" left="0.25" right="0.25" top="0.5"/>
  <pageSetup fitToHeight="5" orientation="portrait"/>
  <headerFooter alignWithMargins="0">
    <oddHeader/>
    <oddFooter>&amp;C&amp;P of &amp;N</oddFooter>
    <evenHeader/>
    <evenFooter/>
    <firstHeader/>
    <firstFooter/>
  </headerFooter>
  <rowBreaks count="2" manualBreakCount="2">
    <brk id="51" man="1" max="16383" min="0"/>
    <brk id="99" man="1" max="16383" min="0"/>
  </row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3" sqref="A13:A21"/>
    </sheetView>
  </sheetViews>
  <sheetFormatPr baseColWidth="8" defaultColWidth="10.7109375" defaultRowHeight="12.75" outlineLevelCol="0"/>
  <cols>
    <col customWidth="1" max="1" min="1" style="28" width="25.140625"/>
    <col bestFit="1" customWidth="1" max="2" min="2" style="28" width="11"/>
    <col customWidth="1" max="8" min="3" style="28" width="12.85546875"/>
    <col customWidth="1" max="9" min="9" style="28" width="20.7109375"/>
    <col customWidth="1" max="10" min="10" style="28" width="10.7109375"/>
    <col customWidth="1" max="11" min="11" style="28" width="17.7109375"/>
    <col customWidth="1" max="16384" min="12" style="28" width="10.7109375"/>
  </cols>
  <sheetData>
    <row customFormat="1" customHeight="1" ht="15.75" r="1" s="67" spans="1:11">
      <c r="A1" s="32" t="s">
        <v>148</v>
      </c>
      <c r="C1" s="15" t="n"/>
    </row>
    <row customFormat="1" r="2" s="67" spans="1:11"/>
    <row customFormat="1" customHeight="1" ht="24" r="3" s="29" spans="1:11">
      <c r="A3" s="35" t="s">
        <v>3</v>
      </c>
      <c r="B3" s="36" t="s">
        <v>4</v>
      </c>
      <c r="C3" s="35" t="s">
        <v>149</v>
      </c>
      <c r="D3" s="35" t="s">
        <v>150</v>
      </c>
      <c r="E3" s="35" t="s">
        <v>78</v>
      </c>
      <c r="F3" s="35" t="s">
        <v>75</v>
      </c>
      <c r="G3" s="35" t="s">
        <v>72</v>
      </c>
      <c r="H3" s="35" t="s">
        <v>50</v>
      </c>
    </row>
    <row r="4" spans="1:11">
      <c r="A4" s="285" t="s">
        <v>151</v>
      </c>
      <c r="B4" s="37" t="s">
        <v>115</v>
      </c>
      <c r="C4" s="38" t="n">
        <v>38838</v>
      </c>
      <c r="D4" s="39" t="n">
        <v>48534</v>
      </c>
      <c r="E4" s="39" t="n">
        <v>53936</v>
      </c>
      <c r="F4" s="39">
        <f>E4-D4</f>
        <v/>
      </c>
      <c r="G4" s="39" t="n"/>
      <c r="H4" s="357">
        <f>F4*0.98934</f>
        <v/>
      </c>
    </row>
    <row r="5" spans="1:11">
      <c r="B5" s="41" t="s">
        <v>116</v>
      </c>
      <c r="C5" s="38" t="n">
        <v>38869</v>
      </c>
      <c r="D5" s="39" t="n">
        <v>53936</v>
      </c>
      <c r="E5" s="39" t="n">
        <v>57534</v>
      </c>
      <c r="F5" s="39">
        <f>E5-D5</f>
        <v/>
      </c>
      <c r="G5" s="39" t="n"/>
      <c r="H5" s="357">
        <f>F5*0.97388</f>
        <v/>
      </c>
    </row>
    <row r="6" spans="1:11">
      <c r="B6" s="41" t="s">
        <v>117</v>
      </c>
      <c r="C6" s="38" t="n">
        <v>38896</v>
      </c>
      <c r="D6" s="39" t="n">
        <v>57534</v>
      </c>
      <c r="E6" s="39" t="n">
        <v>59617</v>
      </c>
      <c r="F6" s="39">
        <f>E6-D6</f>
        <v/>
      </c>
      <c r="G6" s="39" t="n"/>
      <c r="H6" s="357">
        <f>F6*0.81874</f>
        <v/>
      </c>
    </row>
    <row r="7" spans="1:11">
      <c r="B7" s="41" t="s">
        <v>118</v>
      </c>
      <c r="C7" s="38" t="n">
        <v>38925</v>
      </c>
      <c r="D7" s="39" t="n">
        <v>59617</v>
      </c>
      <c r="E7" s="39" t="n">
        <v>61755</v>
      </c>
      <c r="F7" s="39">
        <f>E7-D7</f>
        <v/>
      </c>
      <c r="G7" s="39" t="n"/>
      <c r="H7" s="357">
        <f>F7*0.82277</f>
        <v/>
      </c>
    </row>
    <row r="8" spans="1:11">
      <c r="B8" s="41" t="s">
        <v>119</v>
      </c>
      <c r="C8" s="38" t="n">
        <v>38965</v>
      </c>
      <c r="D8" s="39" t="n">
        <v>61755</v>
      </c>
      <c r="E8" s="39" t="n">
        <v>64169</v>
      </c>
      <c r="F8" s="39">
        <f>E8-D8</f>
        <v/>
      </c>
      <c r="G8" s="39" t="n"/>
      <c r="H8" s="357">
        <f>F8*0.88001</f>
        <v/>
      </c>
    </row>
    <row r="9" spans="1:11">
      <c r="B9" s="41" t="s">
        <v>120</v>
      </c>
      <c r="C9" s="38" t="n">
        <v>38993</v>
      </c>
      <c r="D9" s="39">
        <f>E8</f>
        <v/>
      </c>
      <c r="E9" s="39" t="n">
        <v>67411</v>
      </c>
      <c r="F9" s="39">
        <f>E9-D9</f>
        <v/>
      </c>
      <c r="G9" s="358" t="n">
        <v>0.9132</v>
      </c>
      <c r="H9" s="357">
        <f>F9*G9</f>
        <v/>
      </c>
    </row>
    <row r="10" spans="1:11">
      <c r="B10" s="41" t="s">
        <v>121</v>
      </c>
      <c r="C10" s="38" t="n">
        <v>39035</v>
      </c>
      <c r="D10" s="39">
        <f>E9</f>
        <v/>
      </c>
      <c r="E10" s="39" t="n">
        <v>73404</v>
      </c>
      <c r="F10" s="39">
        <f>E10-D10</f>
        <v/>
      </c>
      <c r="G10" s="358" t="n">
        <v>0.7521</v>
      </c>
      <c r="H10" s="357">
        <f>F10*G10</f>
        <v/>
      </c>
    </row>
    <row r="11" spans="1:11">
      <c r="B11" s="41" t="s">
        <v>122</v>
      </c>
      <c r="C11" s="12" t="n">
        <v>39056</v>
      </c>
      <c r="D11" s="39">
        <f>E10</f>
        <v/>
      </c>
      <c r="E11" s="39" t="n">
        <v>77739</v>
      </c>
      <c r="F11" s="39">
        <f>E11-D11</f>
        <v/>
      </c>
      <c r="G11" s="358" t="n">
        <v>1.0069</v>
      </c>
      <c r="H11" s="357">
        <f>F11*G11</f>
        <v/>
      </c>
    </row>
    <row r="12" spans="1:11">
      <c r="B12" s="41" t="s">
        <v>123</v>
      </c>
      <c r="C12" s="12" t="n">
        <v>38725</v>
      </c>
      <c r="D12" s="39">
        <f>E11</f>
        <v/>
      </c>
      <c r="E12" s="39" t="n">
        <v>83671</v>
      </c>
      <c r="F12" s="39">
        <f>E12-D12</f>
        <v/>
      </c>
      <c r="G12" s="358" t="n">
        <v>0.921453561907727</v>
      </c>
      <c r="H12" s="357">
        <f>F12*G12</f>
        <v/>
      </c>
    </row>
    <row r="13" spans="1:11">
      <c r="A13" s="286" t="s">
        <v>77</v>
      </c>
      <c r="B13" s="37" t="s">
        <v>115</v>
      </c>
      <c r="C13" s="38" t="n">
        <v>38838</v>
      </c>
      <c r="D13" s="43" t="n">
        <v>2444</v>
      </c>
      <c r="E13" s="43" t="n">
        <v>2778</v>
      </c>
      <c r="F13" s="43">
        <f>E13-D13</f>
        <v/>
      </c>
      <c r="G13" s="43" t="n"/>
      <c r="H13" s="357">
        <f>F13*0.98934</f>
        <v/>
      </c>
    </row>
    <row r="14" spans="1:11">
      <c r="B14" s="41" t="s">
        <v>116</v>
      </c>
      <c r="C14" s="38" t="n">
        <v>38869</v>
      </c>
      <c r="D14" s="43" t="n">
        <v>2778</v>
      </c>
      <c r="E14" s="39" t="n">
        <v>2978</v>
      </c>
      <c r="F14" s="39">
        <f>E14-D14</f>
        <v/>
      </c>
      <c r="G14" s="39" t="n"/>
      <c r="H14" s="357">
        <f>F14*0.97388</f>
        <v/>
      </c>
    </row>
    <row r="15" spans="1:11">
      <c r="B15" s="41" t="s">
        <v>117</v>
      </c>
      <c r="C15" s="38" t="n">
        <v>38896</v>
      </c>
      <c r="D15" s="39" t="n">
        <v>2978</v>
      </c>
      <c r="E15" s="39" t="n">
        <v>3019</v>
      </c>
      <c r="F15" s="39">
        <f>E15-D15</f>
        <v/>
      </c>
      <c r="G15" s="39" t="n"/>
      <c r="H15" s="357">
        <f>F15*0.81874</f>
        <v/>
      </c>
      <c r="I15" s="31" t="n"/>
      <c r="K15" s="359" t="n"/>
    </row>
    <row r="16" spans="1:11">
      <c r="B16" s="41" t="s">
        <v>118</v>
      </c>
      <c r="C16" s="38" t="n">
        <v>38925</v>
      </c>
      <c r="D16" s="39" t="n">
        <v>3019</v>
      </c>
      <c r="E16" s="39" t="n">
        <v>3061</v>
      </c>
      <c r="F16" s="39">
        <f>E16-D16</f>
        <v/>
      </c>
      <c r="G16" s="39" t="n"/>
      <c r="H16" s="357">
        <f>F16*0.82277</f>
        <v/>
      </c>
      <c r="I16" s="31" t="n"/>
      <c r="K16" s="359" t="n"/>
    </row>
    <row r="17" spans="1:11">
      <c r="B17" s="41" t="s">
        <v>119</v>
      </c>
      <c r="C17" s="38" t="n">
        <v>38965</v>
      </c>
      <c r="D17" s="39" t="n">
        <v>3061</v>
      </c>
      <c r="E17" s="39" t="n">
        <v>3162</v>
      </c>
      <c r="F17" s="39">
        <f>E17-D17</f>
        <v/>
      </c>
      <c r="G17" s="39" t="n"/>
      <c r="H17" s="357">
        <f>F17*0.88001</f>
        <v/>
      </c>
    </row>
    <row r="18" spans="1:11">
      <c r="B18" s="41" t="s">
        <v>120</v>
      </c>
      <c r="C18" s="38" t="n">
        <v>38993</v>
      </c>
      <c r="D18" s="39">
        <f>E17</f>
        <v/>
      </c>
      <c r="E18" s="39" t="n">
        <v>3391</v>
      </c>
      <c r="F18" s="39">
        <f>E18-D18</f>
        <v/>
      </c>
      <c r="G18" s="358" t="n">
        <v>0.9132</v>
      </c>
      <c r="H18" s="357">
        <f>F18*G18</f>
        <v/>
      </c>
    </row>
    <row r="19" spans="1:11">
      <c r="B19" s="41" t="s">
        <v>121</v>
      </c>
      <c r="C19" s="38" t="n">
        <v>39035</v>
      </c>
      <c r="D19" s="39">
        <f>E18</f>
        <v/>
      </c>
      <c r="E19" s="39" t="n">
        <v>3708</v>
      </c>
      <c r="F19" s="39">
        <f>E19-D19</f>
        <v/>
      </c>
      <c r="G19" s="358" t="n">
        <v>0.7521</v>
      </c>
      <c r="H19" s="357">
        <f>F19*G19</f>
        <v/>
      </c>
    </row>
    <row r="20" spans="1:11">
      <c r="B20" s="41" t="s">
        <v>122</v>
      </c>
      <c r="C20" s="12" t="n">
        <v>39056</v>
      </c>
      <c r="D20" s="39">
        <f>E19</f>
        <v/>
      </c>
      <c r="E20" s="39" t="n">
        <v>3890</v>
      </c>
      <c r="F20" s="39">
        <f>E20-D20</f>
        <v/>
      </c>
      <c r="G20" s="358" t="n">
        <v>1.0069</v>
      </c>
      <c r="H20" s="357">
        <f>F20*G20</f>
        <v/>
      </c>
    </row>
    <row r="21" spans="1:11">
      <c r="B21" s="41" t="s">
        <v>123</v>
      </c>
      <c r="C21" s="12" t="n">
        <v>38725</v>
      </c>
      <c r="D21" s="39">
        <f>E20</f>
        <v/>
      </c>
      <c r="E21" s="360" t="n">
        <v>4075</v>
      </c>
      <c r="F21" s="39">
        <f>E21-D21</f>
        <v/>
      </c>
      <c r="G21" s="358" t="n">
        <v>0.921453561907727</v>
      </c>
      <c r="H21" s="357">
        <f>F21*G21</f>
        <v/>
      </c>
    </row>
    <row r="23" spans="1:11">
      <c r="A23" s="8" t="s">
        <v>34</v>
      </c>
    </row>
    <row r="24" spans="1:11">
      <c r="A24" s="8" t="s">
        <v>83</v>
      </c>
    </row>
  </sheetData>
  <mergeCells count="2">
    <mergeCell ref="A4:A12"/>
    <mergeCell ref="A13:A21"/>
  </mergeCells>
  <pageMargins bottom="0.25" footer="0.5" header="0.5" left="0.5" right="0.5" top="0.5"/>
  <pageSetup orientation="landscape"/>
  <headerFooter alignWithMargins="0">
    <oddHeader/>
    <oddFooter>&amp;C&amp;P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Timothy Olson;Picazo</dc:creator>
  <dcterms:created xsi:type="dcterms:W3CDTF">2005-09-26T20:22:28Z</dcterms:created>
  <dcterms:modified xsi:type="dcterms:W3CDTF">2018-04-10T19:07:31Z</dcterms:modified>
  <cp:lastModifiedBy>James</cp:lastModifiedBy>
  <cp:lastPrinted>2016-08-26T18:13:09Z</cp:lastPrinted>
</cp:coreProperties>
</file>