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5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1" minimized="0" showHorizontalScroll="1" showSheetTabs="1" showVerticalScroll="1" tabRatio="685" visibility="visible" windowHeight="8250" windowWidth="8310" xWindow="0" yWindow="0"/>
  </bookViews>
  <sheets>
    <sheet name="Load Shape" sheetId="1" state="hidden" r:id="rId1"/>
    <sheet name="Utility Summary" sheetId="2" state="visible" r:id="rId2"/>
    <sheet name="Electricity" sheetId="3" state="visible" r:id="rId3"/>
    <sheet name="Gas" sheetId="4" state="visible" r:id="rId4"/>
    <sheet name="Water" sheetId="5" state="visible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state="visible" r:id="rId11"/>
  </sheets>
  <definedNames>
    <definedName localSheetId="1" name="_xlnm.Print_Area">'Utility Summary'!$A$1:$Y$38</definedName>
    <definedName localSheetId="6" name="_xlnm.Print_Titles">'Utilities Summary Old '!$1:$3</definedName>
    <definedName localSheetId="6" name="_xlnm.Print_Area">'Utilities Summary Old '!$A$1:$G$159</definedName>
    <definedName localSheetId="7" name="_xlnm.Print_Titles">'Electric old'!$1:$3</definedName>
    <definedName localSheetId="9" name="_xlnm.Print_Titles">'Water Old'!$1:$3</definedName>
    <definedName localSheetId="9" name="_xlnm.Print_Area">'Water Old'!$A$1:$G$141</definedName>
  </definedNames>
  <calcPr calcId="162913" fullCalcOnLoad="1"/>
</workbook>
</file>

<file path=xl/sharedStrings.xml><?xml version="1.0" encoding="utf-8"?>
<sst xmlns="http://schemas.openxmlformats.org/spreadsheetml/2006/main" uniqueCount="152">
  <si>
    <t>Load Shape</t>
  </si>
  <si>
    <t>Total</t>
  </si>
  <si>
    <t>Dining Utility Summary</t>
  </si>
  <si>
    <t>Building</t>
  </si>
  <si>
    <t>Billing Month</t>
  </si>
  <si>
    <t>Check</t>
  </si>
  <si>
    <t>VALLEY DINING</t>
  </si>
  <si>
    <t>Electricity</t>
  </si>
  <si>
    <t>COMMONS</t>
  </si>
  <si>
    <t>Gas</t>
  </si>
  <si>
    <t>Water</t>
  </si>
  <si>
    <t>Chilled Water</t>
  </si>
  <si>
    <t>Dining Expansion</t>
  </si>
  <si>
    <t>.</t>
  </si>
  <si>
    <t>CHECK Elec</t>
  </si>
  <si>
    <t>CHECK Gas</t>
  </si>
  <si>
    <t>CHECK Wat</t>
  </si>
  <si>
    <t>CHECK CHW</t>
  </si>
  <si>
    <t xml:space="preserve"> </t>
  </si>
  <si>
    <t>Notes: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</si>
  <si>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</si>
  <si>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</si>
  <si>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</si>
  <si>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</si>
  <si>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</si>
  <si>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</si>
  <si>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</si>
  <si>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</si>
  <si>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</si>
  <si>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</si>
  <si>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</si>
  <si>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</si>
  <si>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</si>
  <si>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</si>
  <si>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Reading (kWh)</t>
  </si>
  <si>
    <t>COMMONS (Terraces Dining)</t>
  </si>
  <si>
    <t>Usage (kWh)</t>
  </si>
  <si>
    <t>Charges</t>
  </si>
  <si>
    <t>DINING EXPANSION</t>
  </si>
  <si>
    <t>Total Usage (kWh)</t>
  </si>
  <si>
    <t>Total Charges</t>
  </si>
  <si>
    <t>(a) Unit Cost is calculated from the main campus feeder (El Capitan) bill from PG&amp;E (value comes from "electricity cost" tab</t>
  </si>
  <si>
    <t>(b) The total for the Dining portion for Jovanna</t>
  </si>
  <si>
    <t>Natural Gas</t>
  </si>
  <si>
    <t>Unit Cost
($/therm) (a)</t>
  </si>
  <si>
    <t>DINING BOILER</t>
  </si>
  <si>
    <t>Reading
(100 x cub-ft)</t>
  </si>
  <si>
    <t>75150</t>
  </si>
  <si>
    <t>Usage
(therms)</t>
  </si>
  <si>
    <t xml:space="preserve">Charges
</t>
  </si>
  <si>
    <t>LAUNDRY</t>
  </si>
  <si>
    <t>Current Meter
(100 x cub-ft)</t>
  </si>
  <si>
    <t>1841</t>
  </si>
  <si>
    <t>Total Usage (therms)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</si>
  <si>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</si>
  <si>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</si>
  <si>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Water and Sewer</t>
  </si>
  <si>
    <t>BUILDING</t>
  </si>
  <si>
    <t>Unit Cost
($/1000 gal)</t>
  </si>
  <si>
    <t>VALLEY</t>
  </si>
  <si>
    <t>Reading (gal)</t>
  </si>
  <si>
    <t>DINING COMMONS</t>
  </si>
  <si>
    <t>Usage (gal)</t>
  </si>
  <si>
    <t>(metered)</t>
  </si>
  <si>
    <t>Total Usage (gal)</t>
  </si>
  <si>
    <t>(a) Unit Cost is calculated from the main campus supply bill from the City of Merced.</t>
  </si>
  <si>
    <t>(b) Estimated bills are a size-weighted average of readings for Tulare, Kern, and San Joaquin Halls.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</si>
  <si>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</si>
  <si>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</si>
  <si>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</si>
  <si>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</si>
  <si>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</si>
  <si>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</si>
  <si>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</si>
  <si>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</si>
  <si>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</si>
  <si>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</si>
  <si>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</si>
  <si>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</si>
  <si>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</si>
  <si>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</si>
  <si>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</si>
  <si>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</si>
  <si>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</si>
  <si>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</si>
  <si>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</si>
  <si>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</si>
  <si>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</si>
  <si>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</si>
  <si>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</si>
  <si>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</si>
  <si>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</si>
  <si>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</si>
  <si>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</si>
  <si>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</si>
  <si>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</si>
  <si>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</si>
  <si>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</si>
  <si>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</si>
  <si>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</si>
  <si>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</si>
  <si>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</si>
  <si>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</si>
  <si>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</si>
  <si>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</si>
  <si>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</si>
  <si>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</si>
  <si>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</si>
  <si>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</si>
  <si>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</si>
  <si>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</si>
  <si>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</si>
  <si>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</si>
  <si>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</si>
  <si>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</si>
  <si>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</si>
  <si>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</si>
  <si>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</si>
  <si>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</si>
  <si>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</si>
  <si>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</si>
  <si>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</si>
  <si>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</si>
  <si>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</si>
  <si>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(a) Unit Cost is calculated from the main campus feeder (El Capitan) bill from PG&amp;E.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</si>
  <si>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</si>
  <si>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</si>
  <si>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</si>
  <si>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</si>
  <si>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</si>
  <si>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</si>
  <si>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</si>
  <si>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</si>
  <si>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</si>
  <si>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</si>
  <si>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</si>
  <si>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</si>
  <si>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</si>
  <si>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</si>
  <si>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</si>
  <si>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</si>
  <si>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</si>
  <si>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</si>
  <si>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</si>
  <si>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Unit Cost
($/ton-hr)</t>
  </si>
  <si>
    <t>Usage (ton-hr)</t>
  </si>
  <si>
    <t>0214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</si>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</sst>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>
  <numFmts count="13">
    <numFmt formatCode="&quot;$&quot;#,##0.00" numFmtId="164"/>
    <numFmt formatCode="#,##0.0000" numFmtId="165"/>
    <numFmt formatCode="0.0%" numFmtId="166"/>
    <numFmt formatCode="_(&quot;$&quot;* #,##0.000000_);_(&quot;$&quot;* \(#,##0.000000\);_(&quot;$&quot;* &quot;-&quot;??????_);_(@_)" numFmtId="167"/>
    <numFmt formatCode="#,##0;[Red]#,##0" numFmtId="168"/>
    <numFmt formatCode="0.0" numFmtId="169"/>
    <numFmt formatCode="m/d/yy;@" numFmtId="170"/>
    <numFmt formatCode="&quot;$&quot;#,##0" numFmtId="171"/>
    <numFmt formatCode="[$-409]mmm\-yy;@" numFmtId="172"/>
    <numFmt formatCode="0.0000" numFmtId="173"/>
    <numFmt formatCode="_(* #,##0_);_(* \(#,##0\);_(* &quot;-&quot;??_);_(@_)" numFmtId="174"/>
    <numFmt formatCode="_(&quot;$&quot;* #,##0.00_);_(&quot;$&quot;* \(#,##0.00\);_(&quot;$&quot;* &quot;-&quot;??_);_(@_)" numFmtId="175"/>
    <numFmt formatCode="_(&quot;$&quot;* #,##0.000_);_(&quot;$&quot;* \(#,##0.000\);_(&quot;$&quot;* &quot;-&quot;??_);_(@_)" numFmtId="176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indexed="8"/>
      <sz val="10"/>
    </font>
    <font>
      <name val="Arial"/>
      <family val="2"/>
      <color indexed="12"/>
      <sz val="14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color theme="1"/>
      <sz val="8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color rgb="FF000000"/>
      <sz val="7.5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color rgb="FFFF0000"/>
      <sz val="10"/>
    </font>
  </fonts>
  <fills count="3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9">
    <xf borderId="0" fillId="0" fontId="0" numFmtId="0"/>
    <xf borderId="0" fillId="0" fontId="38" numFmtId="0"/>
    <xf borderId="0" fillId="0" fontId="38" numFmtId="0"/>
    <xf borderId="0" fillId="0" fontId="38" numFmtId="0"/>
    <xf borderId="0" fillId="0" fontId="38" numFmtId="0"/>
    <xf borderId="0" fillId="0" fontId="38" numFmtId="175"/>
    <xf borderId="0" fillId="0" fontId="21" numFmtId="0"/>
    <xf borderId="9" fillId="0" fontId="22" numFmtId="0"/>
    <xf borderId="10" fillId="0" fontId="23" numFmtId="0"/>
    <xf borderId="11" fillId="0" fontId="24" numFmtId="0"/>
    <xf borderId="0" fillId="0" fontId="24" numFmtId="0"/>
    <xf borderId="0" fillId="5" fontId="25" numFmtId="0"/>
    <xf borderId="0" fillId="6" fontId="26" numFmtId="0"/>
    <xf borderId="0" fillId="7" fontId="27" numFmtId="0"/>
    <xf borderId="12" fillId="8" fontId="28" numFmtId="0"/>
    <xf borderId="13" fillId="9" fontId="29" numFmtId="0"/>
    <xf borderId="12" fillId="9" fontId="30" numFmtId="0"/>
    <xf borderId="14" fillId="0" fontId="31" numFmtId="0"/>
    <xf borderId="15" fillId="10" fontId="32" numFmtId="0"/>
    <xf borderId="0" fillId="0" fontId="33" numFmtId="0"/>
    <xf borderId="0" fillId="0" fontId="34" numFmtId="0"/>
    <xf borderId="17" fillId="0" fontId="35" numFmtId="0"/>
    <xf borderId="0" fillId="12" fontId="36" numFmtId="0"/>
    <xf borderId="0" fillId="13" fontId="3" numFmtId="0"/>
    <xf borderId="0" fillId="14" fontId="3" numFmtId="0"/>
    <xf borderId="0" fillId="15" fontId="36" numFmtId="0"/>
    <xf borderId="0" fillId="16" fontId="36" numFmtId="0"/>
    <xf borderId="0" fillId="17" fontId="3" numFmtId="0"/>
    <xf borderId="0" fillId="18" fontId="3" numFmtId="0"/>
    <xf borderId="0" fillId="19" fontId="36" numFmtId="0"/>
    <xf borderId="0" fillId="20" fontId="36" numFmtId="0"/>
    <xf borderId="0" fillId="21" fontId="3" numFmtId="0"/>
    <xf borderId="0" fillId="22" fontId="3" numFmtId="0"/>
    <xf borderId="0" fillId="23" fontId="36" numFmtId="0"/>
    <xf borderId="0" fillId="24" fontId="36" numFmtId="0"/>
    <xf borderId="0" fillId="25" fontId="3" numFmtId="0"/>
    <xf borderId="0" fillId="26" fontId="3" numFmtId="0"/>
    <xf borderId="0" fillId="27" fontId="36" numFmtId="0"/>
    <xf borderId="0" fillId="28" fontId="36" numFmtId="0"/>
    <xf borderId="0" fillId="29" fontId="3" numFmtId="0"/>
    <xf borderId="0" fillId="30" fontId="3" numFmtId="0"/>
    <xf borderId="0" fillId="31" fontId="36" numFmtId="0"/>
    <xf borderId="0" fillId="32" fontId="36" numFmtId="0"/>
    <xf borderId="0" fillId="33" fontId="3" numFmtId="0"/>
    <xf borderId="0" fillId="34" fontId="3" numFmtId="0"/>
    <xf borderId="0" fillId="35" fontId="36" numFmtId="0"/>
    <xf borderId="0" fillId="0" fontId="3" numFmtId="0"/>
    <xf borderId="16" fillId="11" fontId="3" numFmtId="0"/>
    <xf borderId="0" fillId="0" fontId="3" numFmtId="0"/>
    <xf borderId="0" fillId="0" fontId="38" numFmtId="0"/>
    <xf borderId="0" fillId="0" fontId="38" numFmtId="0"/>
    <xf borderId="0" fillId="0" fontId="38" numFmtId="0"/>
    <xf borderId="0" fillId="13" fontId="3" numFmtId="0"/>
    <xf borderId="0" fillId="14" fontId="3" numFmtId="0"/>
    <xf borderId="0" fillId="17" fontId="3" numFmtId="0"/>
    <xf borderId="0" fillId="18" fontId="3" numFmtId="0"/>
    <xf borderId="0" fillId="21" fontId="3" numFmtId="0"/>
    <xf borderId="0" fillId="22" fontId="3" numFmtId="0"/>
    <xf borderId="0" fillId="25" fontId="3" numFmtId="0"/>
    <xf borderId="0" fillId="26" fontId="3" numFmtId="0"/>
    <xf borderId="0" fillId="29" fontId="3" numFmtId="0"/>
    <xf borderId="0" fillId="30" fontId="3" numFmtId="0"/>
    <xf borderId="0" fillId="33" fontId="3" numFmtId="0"/>
    <xf borderId="0" fillId="34" fontId="3" numFmtId="0"/>
    <xf borderId="0" fillId="0" fontId="3" numFmtId="0"/>
    <xf borderId="16" fillId="11" fontId="3" numFmtId="0"/>
    <xf borderId="0" fillId="0" fontId="3" numFmtId="0"/>
    <xf borderId="16" fillId="11" fontId="3" numFmtId="0"/>
    <xf borderId="0" fillId="0" fontId="38" numFmtId="175"/>
  </cellStyleXfs>
  <cellXfs count="309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8" numFmtId="0" pivotButton="0" quotePrefix="0" xfId="0">
      <alignment horizontal="left"/>
    </xf>
    <xf borderId="0" fillId="0" fontId="0" numFmtId="3" pivotButton="0" quotePrefix="0" xfId="0"/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left"/>
    </xf>
    <xf applyAlignment="1" borderId="0" fillId="0" fontId="0" numFmtId="3" pivotButton="0" quotePrefix="0" xfId="0">
      <alignment horizontal="center"/>
    </xf>
    <xf applyAlignment="1" borderId="1" fillId="0" fontId="8" numFmtId="14" pivotButton="0" quotePrefix="0" xfId="0">
      <alignment horizontal="center"/>
    </xf>
    <xf applyAlignment="1" borderId="1" fillId="0" fontId="8" numFmtId="3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8" numFmtId="0" pivotButton="0" quotePrefix="0" xfId="0"/>
    <xf applyAlignment="1" borderId="0" fillId="0" fontId="8" numFmtId="164" pivotButton="0" quotePrefix="0" xfId="0">
      <alignment horizontal="center"/>
    </xf>
    <xf applyAlignment="1" borderId="0" fillId="0" fontId="8" numFmtId="3" pivotButton="0" quotePrefix="0" xfId="0">
      <alignment horizontal="center"/>
    </xf>
    <xf borderId="0" fillId="0" fontId="0" numFmtId="3" pivotButton="0" quotePrefix="0" xfId="0"/>
    <xf borderId="0" fillId="0" fontId="0" numFmtId="164" pivotButton="0" quotePrefix="0" xfId="0"/>
    <xf applyAlignment="1" borderId="1" fillId="2" fontId="8" numFmtId="3" pivotButton="0" quotePrefix="0" xfId="0">
      <alignment horizontal="center"/>
    </xf>
    <xf applyAlignment="1" borderId="0" fillId="0" fontId="8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8" numFmtId="4" pivotButton="0" quotePrefix="0" xfId="0">
      <alignment horizontal="center"/>
    </xf>
    <xf borderId="0" fillId="0" fontId="0" numFmtId="4" pivotButton="0" quotePrefix="0" xfId="0"/>
    <xf applyAlignment="1" borderId="1" fillId="0" fontId="8" numFmtId="165" pivotButton="0" quotePrefix="0" xfId="0">
      <alignment horizontal="center"/>
    </xf>
    <xf applyAlignment="1" borderId="1" fillId="0" fontId="8" numFmtId="0" pivotButton="0" quotePrefix="0" xfId="0">
      <alignment horizontal="center" vertical="center" wrapText="1"/>
    </xf>
    <xf borderId="0" fillId="0" fontId="12" numFmtId="0" pivotButton="0" quotePrefix="0" xfId="0"/>
    <xf borderId="0" fillId="0" fontId="13" numFmtId="0" pivotButton="0" quotePrefix="0" xfId="0"/>
    <xf applyAlignment="1" borderId="0" fillId="0" fontId="13" numFmtId="0" pivotButton="0" quotePrefix="0" xfId="0">
      <alignment vertical="center" wrapText="1"/>
    </xf>
    <xf borderId="0" fillId="0" fontId="14" numFmtId="0" pivotButton="0" quotePrefix="0" xfId="0"/>
    <xf applyAlignment="1" borderId="0" fillId="0" fontId="15" numFmtId="0" pivotButton="0" quotePrefix="0" xfId="0">
      <alignment horizontal="left"/>
    </xf>
    <xf applyAlignment="1" borderId="1" fillId="0" fontId="4" numFmtId="0" pivotButton="0" quotePrefix="0" xfId="0">
      <alignment horizontal="left" vertical="center" wrapText="1"/>
    </xf>
    <xf applyAlignment="1" borderId="1" fillId="0" fontId="16" numFmtId="0" pivotButton="0" quotePrefix="0" xfId="0">
      <alignment horizontal="center" vertical="center" wrapText="1"/>
    </xf>
    <xf applyAlignment="1" borderId="1" fillId="0" fontId="16" numFmtId="0" pivotButton="0" quotePrefix="0" xfId="0">
      <alignment horizontal="left" vertical="center" wrapText="1"/>
    </xf>
    <xf applyAlignment="1" borderId="1" fillId="0" fontId="16" numFmtId="0" pivotButton="0" quotePrefix="0" xfId="0">
      <alignment horizontal="left"/>
    </xf>
    <xf applyAlignment="1" borderId="1" fillId="0" fontId="16" numFmtId="14" pivotButton="0" quotePrefix="0" xfId="0">
      <alignment horizontal="center"/>
    </xf>
    <xf applyAlignment="1" borderId="1" fillId="0" fontId="16" numFmtId="3" pivotButton="0" quotePrefix="0" xfId="0">
      <alignment horizontal="center"/>
    </xf>
    <xf applyAlignment="1" borderId="1" fillId="0" fontId="16" numFmtId="164" pivotButton="0" quotePrefix="0" xfId="0">
      <alignment horizontal="center"/>
    </xf>
    <xf borderId="1" fillId="0" fontId="16" numFmtId="0" pivotButton="0" quotePrefix="0" xfId="0"/>
    <xf applyAlignment="1" borderId="1" fillId="0" fontId="16" numFmtId="165" pivotButton="0" quotePrefix="0" xfId="0">
      <alignment horizontal="center"/>
    </xf>
    <xf applyAlignment="1" borderId="1" fillId="0" fontId="16" numFmtId="0" pivotButton="0" quotePrefix="0" xfId="0">
      <alignment horizontal="center"/>
    </xf>
    <xf borderId="1" fillId="0" fontId="8" numFmtId="0" pivotButton="0" quotePrefix="0" xfId="0"/>
    <xf borderId="0" fillId="0" fontId="15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0" fillId="2" fontId="0" numFmtId="0" pivotButton="0" quotePrefix="0" xfId="0"/>
    <xf borderId="0" fillId="0" fontId="0" numFmtId="166" pivotButton="0" quotePrefix="0" xfId="1"/>
    <xf borderId="1" fillId="0" fontId="0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1" fillId="0" fontId="8" numFmtId="165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8" numFmtId="164" pivotButton="0" quotePrefix="0" xfId="0">
      <alignment horizontal="center"/>
    </xf>
    <xf applyAlignment="1" borderId="0" fillId="0" fontId="8" numFmtId="167" pivotButton="0" quotePrefix="0" xfId="0">
      <alignment horizontal="center"/>
    </xf>
    <xf applyAlignment="1" borderId="1" fillId="0" fontId="0" numFmtId="168" pivotButton="0" quotePrefix="0" xfId="0">
      <alignment horizontal="center" wrapText="1"/>
    </xf>
    <xf applyAlignment="1" borderId="1" fillId="0" fontId="0" numFmtId="3" pivotButton="0" quotePrefix="0" xfId="0">
      <alignment horizontal="center"/>
    </xf>
    <xf borderId="0" fillId="0" fontId="0" numFmtId="169" pivotButton="0" quotePrefix="0" xfId="0"/>
    <xf borderId="0" fillId="0" fontId="5" numFmtId="170" pivotButton="0" quotePrefix="0" xfId="0"/>
    <xf applyAlignment="1" borderId="0" fillId="0" fontId="16" numFmtId="0" pivotButton="0" quotePrefix="0" xfId="0">
      <alignment horizontal="left" vertical="top" wrapText="1"/>
    </xf>
    <xf applyAlignment="1" borderId="0" fillId="0" fontId="4" numFmtId="0" pivotButton="0" quotePrefix="0" xfId="0">
      <alignment vertical="top" wrapText="1"/>
    </xf>
    <xf applyAlignment="1" borderId="0" fillId="0" fontId="5" numFmtId="0" pivotButton="0" quotePrefix="0" xfId="0">
      <alignment horizontal="left" vertical="top" wrapText="1"/>
    </xf>
    <xf applyAlignment="1" borderId="0" fillId="0" fontId="5" numFmtId="0" pivotButton="0" quotePrefix="0" xfId="0">
      <alignment vertical="top" wrapText="1"/>
    </xf>
    <xf applyAlignment="1" borderId="0" fillId="0" fontId="5" numFmtId="0" pivotButton="0" quotePrefix="0" xfId="0">
      <alignment vertical="top"/>
    </xf>
    <xf borderId="2" fillId="0" fontId="5" numFmtId="0" pivotButton="0" quotePrefix="0" xfId="0"/>
    <xf borderId="0" fillId="0" fontId="5" numFmtId="170" pivotButton="0" quotePrefix="0" xfId="0"/>
    <xf applyAlignment="1" borderId="0" fillId="0" fontId="5" numFmtId="170" pivotButton="0" quotePrefix="0" xfId="0">
      <alignment wrapText="1"/>
    </xf>
    <xf applyAlignment="1" borderId="3" fillId="0" fontId="5" numFmtId="0" pivotButton="0" quotePrefix="0" xfId="0">
      <alignment vertical="top"/>
    </xf>
    <xf applyAlignment="1" borderId="3" fillId="0" fontId="5" numFmtId="0" pivotButton="0" quotePrefix="0" xfId="0">
      <alignment vertical="top" wrapText="1"/>
    </xf>
    <xf applyAlignment="1" borderId="0" fillId="0" fontId="5" numFmtId="0" pivotButton="0" quotePrefix="0" xfId="0">
      <alignment wrapText="1"/>
    </xf>
    <xf borderId="0" fillId="0" fontId="5" numFmtId="3" pivotButton="0" quotePrefix="0" xfId="0"/>
    <xf borderId="0" fillId="0" fontId="5" numFmtId="164" pivotButton="0" quotePrefix="0" xfId="0"/>
    <xf borderId="3" fillId="0" fontId="5" numFmtId="0" pivotButton="0" quotePrefix="0" xfId="0"/>
    <xf applyAlignment="1" borderId="2" fillId="0" fontId="5" numFmtId="0" pivotButton="0" quotePrefix="0" xfId="0">
      <alignment horizontal="left" vertical="top" wrapText="1"/>
    </xf>
    <xf applyAlignment="1" borderId="2" fillId="0" fontId="5" numFmtId="0" pivotButton="0" quotePrefix="0" xfId="0">
      <alignment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horizontal="left" vertical="top" wrapText="1"/>
    </xf>
    <xf applyAlignment="1" borderId="0" fillId="0" fontId="5" numFmtId="3" pivotButton="0" quotePrefix="0" xfId="0">
      <alignment vertical="top" wrapText="1"/>
    </xf>
    <xf applyAlignment="1" borderId="3" fillId="0" fontId="16" numFmtId="0" pivotButton="0" quotePrefix="0" xfId="0">
      <alignment horizontal="left" vertical="top" wrapText="1"/>
    </xf>
    <xf applyAlignment="1" borderId="0" fillId="0" fontId="0" numFmtId="0" pivotButton="0" quotePrefix="0" xfId="0">
      <alignment vertical="top"/>
    </xf>
    <xf borderId="0" fillId="0" fontId="5" numFmtId="0" pivotButton="0" quotePrefix="0" xfId="0"/>
    <xf borderId="0" fillId="0" fontId="5" numFmtId="171" pivotButton="0" quotePrefix="0" xfId="0"/>
    <xf applyAlignment="1" borderId="0" fillId="0" fontId="5" numFmtId="0" pivotButton="0" quotePrefix="0" xfId="0">
      <alignment vertical="top"/>
    </xf>
    <xf applyAlignment="1" borderId="0" fillId="0" fontId="5" numFmtId="164" pivotButton="0" quotePrefix="0" xfId="0">
      <alignment vertical="top"/>
    </xf>
    <xf borderId="3" fillId="0" fontId="5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vertical="top"/>
    </xf>
    <xf applyAlignment="1" borderId="0" fillId="0" fontId="4" numFmtId="170" pivotButton="0" quotePrefix="0" xfId="0">
      <alignment vertical="top"/>
    </xf>
    <xf applyAlignment="1" borderId="0" fillId="0" fontId="4" numFmtId="170" pivotButton="0" quotePrefix="0" xfId="0">
      <alignment vertical="top" wrapText="1"/>
    </xf>
    <xf applyAlignment="1" borderId="0" fillId="0" fontId="4" numFmtId="0" pivotButton="0" quotePrefix="0" xfId="0">
      <alignment vertical="top" wrapText="1"/>
    </xf>
    <xf applyAlignment="1" borderId="0" fillId="0" fontId="18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1" fillId="0" fontId="4" numFmtId="170" pivotButton="0" quotePrefix="0" xfId="0">
      <alignment vertical="top"/>
    </xf>
    <xf applyAlignment="1" borderId="1" fillId="0" fontId="4" numFmtId="170" pivotButton="0" quotePrefix="0" xfId="0">
      <alignment vertical="top"/>
    </xf>
    <xf applyAlignment="1" borderId="0" fillId="0" fontId="15" numFmtId="0" pivotButton="0" quotePrefix="0" xfId="0">
      <alignment vertical="top"/>
    </xf>
    <xf applyAlignment="1" borderId="0" fillId="0" fontId="14" numFmtId="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7" numFmtId="173" pivotButton="0" quotePrefix="0" xfId="0">
      <alignment vertical="top"/>
    </xf>
    <xf applyAlignment="1" borderId="0" fillId="0" fontId="5" numFmtId="0" pivotButton="0" quotePrefix="0" xfId="0">
      <alignment horizontal="left" vertical="top"/>
    </xf>
    <xf borderId="0" fillId="0" fontId="4" numFmtId="0" pivotButton="0" quotePrefix="0" xfId="0"/>
    <xf borderId="0" fillId="0" fontId="5" numFmtId="170" pivotButton="0" quotePrefix="0" xfId="0"/>
    <xf borderId="2" fillId="0" fontId="5" numFmtId="0" pivotButton="0" quotePrefix="0" xfId="0"/>
    <xf borderId="0" fillId="0" fontId="4" numFmtId="3" pivotButton="0" quotePrefix="0" xfId="0"/>
    <xf borderId="0" fillId="0" fontId="5" numFmtId="1" pivotButton="0" quotePrefix="0" xfId="0"/>
    <xf applyAlignment="1" borderId="2" fillId="0" fontId="5" numFmtId="0" pivotButton="0" quotePrefix="0" xfId="0">
      <alignment horizontal="right"/>
    </xf>
    <xf applyAlignment="1" borderId="2" fillId="0" fontId="5" numFmtId="0" pivotButton="0" quotePrefix="0" xfId="0">
      <alignment horizontal="righ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vertical="top" wrapText="1"/>
    </xf>
    <xf borderId="0" fillId="0" fontId="0" numFmtId="0" pivotButton="0" quotePrefix="0" xfId="0"/>
    <xf applyAlignment="1" borderId="3" fillId="0" fontId="0" numFmtId="0" pivotButton="0" quotePrefix="0" xfId="0">
      <alignment vertical="top"/>
    </xf>
    <xf borderId="2" fillId="0" fontId="0" numFmtId="0" pivotButton="0" quotePrefix="0" xfId="0"/>
    <xf borderId="3" fillId="0" fontId="0" numFmtId="0" pivotButton="0" quotePrefix="0" xfId="0"/>
    <xf borderId="0" fillId="0" fontId="4" numFmtId="3" pivotButton="0" quotePrefix="0" xfId="0"/>
    <xf borderId="3" fillId="0" fontId="0" numFmtId="0" pivotButton="0" quotePrefix="0" xfId="0"/>
    <xf applyAlignment="1" borderId="0" fillId="0" fontId="4" numFmtId="3" pivotButton="0" quotePrefix="0" xfId="0">
      <alignment vertical="top" wrapText="1"/>
    </xf>
    <xf borderId="0" fillId="3" fontId="5" numFmtId="171" pivotButton="0" quotePrefix="0" xfId="0"/>
    <xf borderId="2" fillId="0" fontId="5" numFmtId="172" pivotButton="0" quotePrefix="0" xfId="0"/>
    <xf applyAlignment="1" borderId="0" fillId="0" fontId="5" numFmtId="3" pivotButton="0" quotePrefix="0" xfId="0">
      <alignment wrapText="1"/>
    </xf>
    <xf applyAlignment="1" borderId="0" fillId="0" fontId="5" numFmtId="171" pivotButton="0" quotePrefix="0" xfId="0">
      <alignment horizontal="right" wrapText="1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wrapText="1"/>
    </xf>
    <xf borderId="0" fillId="0" fontId="5" numFmtId="164" pivotButton="0" quotePrefix="0" xfId="0"/>
    <xf borderId="0" fillId="0" fontId="0" numFmtId="0" pivotButton="0" quotePrefix="0" xfId="0"/>
    <xf applyAlignment="1" borderId="6" fillId="0" fontId="5" numFmtId="0" pivotButton="0" quotePrefix="0" xfId="0">
      <alignment vertical="top" wrapText="1"/>
    </xf>
    <xf applyAlignment="1" borderId="7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6" fillId="0" fontId="5" numFmtId="0" pivotButton="0" quotePrefix="0" xfId="0">
      <alignment wrapText="1"/>
    </xf>
    <xf applyAlignment="1" borderId="6" fillId="0" fontId="5" numFmtId="3" pivotButton="0" quotePrefix="0" xfId="0">
      <alignment wrapText="1"/>
    </xf>
    <xf applyAlignment="1" borderId="6" fillId="0" fontId="5" numFmtId="164" pivotButton="0" quotePrefix="0" xfId="0">
      <alignment wrapText="1"/>
    </xf>
    <xf applyAlignment="1" borderId="7" fillId="0" fontId="5" numFmtId="164" pivotButton="0" quotePrefix="0" xfId="0">
      <alignment wrapText="1"/>
    </xf>
    <xf applyAlignment="1" borderId="5" fillId="0" fontId="5" numFmtId="0" pivotButton="0" quotePrefix="0" xfId="0">
      <alignment horizontal="left" vertical="top" wrapText="1"/>
    </xf>
    <xf borderId="8" fillId="4" fontId="5" numFmtId="171" pivotButton="0" quotePrefix="0" xfId="0"/>
    <xf applyAlignment="1" borderId="0" fillId="0" fontId="5" numFmtId="3" pivotButton="0" quotePrefix="0" xfId="0">
      <alignment vertical="top" wrapText="1"/>
    </xf>
    <xf applyAlignment="1" borderId="0" fillId="0" fontId="4" numFmtId="0" pivotButton="0" quotePrefix="0" xfId="0">
      <alignment horizontal="right"/>
    </xf>
    <xf applyAlignment="1" borderId="0" fillId="0" fontId="4" numFmtId="3" pivotButton="0" quotePrefix="0" xfId="0">
      <alignment horizontal="right"/>
    </xf>
    <xf applyAlignment="1" borderId="0" fillId="0" fontId="5" numFmtId="171" pivotButton="0" quotePrefix="0" xfId="0">
      <alignment horizontal="right"/>
    </xf>
    <xf applyAlignment="1" borderId="0" fillId="0" fontId="4" numFmtId="0" pivotButton="0" quotePrefix="0" xfId="0">
      <alignment vertical="top" wrapText="1"/>
    </xf>
    <xf applyAlignment="1" borderId="2" fillId="0" fontId="5" numFmtId="3" pivotButton="0" quotePrefix="0" xfId="0">
      <alignment wrapText="1"/>
    </xf>
    <xf applyAlignment="1" borderId="0" fillId="0" fontId="4" numFmtId="0" pivotButton="0" quotePrefix="0" xfId="0">
      <alignment wrapText="1"/>
    </xf>
    <xf borderId="6" fillId="4" fontId="5" numFmtId="171" pivotButton="0" quotePrefix="0" xfId="0"/>
    <xf borderId="0" fillId="0" fontId="4" numFmtId="0" pivotButton="0" quotePrefix="0" xfId="0"/>
    <xf borderId="0" fillId="0" fontId="0" numFmtId="0" pivotButton="0" quotePrefix="0" xfId="0"/>
    <xf borderId="0" fillId="0" fontId="5" numFmtId="0" pivotButton="0" quotePrefix="0" xfId="0"/>
    <xf borderId="0" fillId="0" fontId="5" numFmtId="0" pivotButton="0" quotePrefix="0" xfId="0"/>
    <xf borderId="0" fillId="0" fontId="5" numFmtId="171" pivotButton="0" quotePrefix="0" xfId="0"/>
    <xf borderId="0" fillId="0" fontId="5" numFmtId="171" pivotButton="0" quotePrefix="0" xfId="0"/>
    <xf borderId="0" fillId="4" fontId="5" numFmtId="171" pivotButton="0" quotePrefix="0" xfId="0"/>
    <xf applyAlignment="1" borderId="3" fillId="0" fontId="5" numFmtId="0" pivotButton="0" quotePrefix="0" xfId="0">
      <alignment wrapText="1"/>
    </xf>
    <xf borderId="8" fillId="0" fontId="5" numFmtId="171" pivotButton="0" quotePrefix="0" xfId="0"/>
    <xf borderId="3" fillId="0" fontId="5" numFmtId="164" pivotButton="0" quotePrefix="0" xfId="0"/>
    <xf applyAlignment="1" borderId="2" fillId="0" fontId="5" numFmtId="0" pivotButton="0" quotePrefix="0" xfId="0">
      <alignment vertical="top" wrapText="1"/>
    </xf>
    <xf applyAlignment="1" borderId="0" fillId="0" fontId="5" numFmtId="174" pivotButton="0" quotePrefix="1" xfId="2">
      <alignment horizontal="center"/>
    </xf>
    <xf applyAlignment="1" borderId="0" fillId="0" fontId="5" numFmtId="3" pivotButton="0" quotePrefix="0" xfId="0">
      <alignment horizontal="right" wrapText="1"/>
    </xf>
    <xf applyAlignment="1" borderId="0" fillId="0" fontId="5" numFmtId="164" pivotButton="0" quotePrefix="0" xfId="0">
      <alignment horizontal="right" wrapText="1"/>
    </xf>
    <xf applyAlignment="1" borderId="3" fillId="0" fontId="5" numFmtId="164" pivotButton="0" quotePrefix="0" xfId="0">
      <alignment wrapText="1"/>
    </xf>
    <xf applyAlignment="1" borderId="0" fillId="0" fontId="5" numFmtId="3" pivotButton="0" quotePrefix="0" xfId="0">
      <alignment horizontal="right"/>
    </xf>
    <xf applyAlignment="1" borderId="3" fillId="0" fontId="5" numFmtId="173" pivotButton="0" quotePrefix="0" xfId="0">
      <alignment vertical="top"/>
    </xf>
    <xf borderId="0" fillId="0" fontId="37" numFmtId="0" pivotButton="0" quotePrefix="0" xfId="0"/>
    <xf borderId="0" fillId="0" fontId="37" numFmtId="0" pivotButton="0" quotePrefix="1" xfId="0"/>
    <xf borderId="4" fillId="0" fontId="5" numFmtId="172" pivotButton="0" quotePrefix="0" xfId="0"/>
    <xf borderId="0" fillId="0" fontId="5" numFmtId="175" pivotButton="0" quotePrefix="0" xfId="68"/>
    <xf borderId="0" fillId="0" fontId="39" numFmtId="4" pivotButton="0" quotePrefix="0" xfId="0"/>
    <xf applyAlignment="1" borderId="0" fillId="0" fontId="5" numFmtId="173" pivotButton="0" quotePrefix="0" xfId="0">
      <alignment vertical="top"/>
    </xf>
    <xf applyAlignment="1" borderId="0" fillId="0" fontId="5" numFmtId="165" pivotButton="0" quotePrefix="0" xfId="0">
      <alignment vertical="top" wrapText="1"/>
    </xf>
    <xf applyAlignment="1" borderId="3" fillId="0" fontId="19" numFmtId="173" pivotButton="0" quotePrefix="0" xfId="0">
      <alignment vertical="top"/>
    </xf>
    <xf applyAlignment="1" borderId="3" fillId="0" fontId="5" numFmtId="164" pivotButton="0" quotePrefix="0" xfId="0">
      <alignment horizontal="right" wrapText="1"/>
    </xf>
    <xf applyAlignment="1" borderId="0" fillId="0" fontId="5" numFmtId="164" pivotButton="0" quotePrefix="0" xfId="0">
      <alignment wrapText="1"/>
    </xf>
    <xf applyAlignment="1" borderId="0" fillId="0" fontId="19" numFmtId="165" pivotButton="0" quotePrefix="0" xfId="0">
      <alignment vertical="top" wrapText="1"/>
    </xf>
    <xf applyAlignment="1" borderId="0" fillId="0" fontId="5" numFmtId="170" pivotButton="0" quotePrefix="0" xfId="0">
      <alignment horizontal="right"/>
    </xf>
    <xf borderId="0" fillId="0" fontId="5" numFmtId="172" pivotButton="0" quotePrefix="0" xfId="0"/>
    <xf applyAlignment="1" borderId="0" fillId="0" fontId="5" numFmtId="0" pivotButton="0" quotePrefix="0" xfId="0">
      <alignment horizontal="right"/>
    </xf>
    <xf borderId="19" fillId="0" fontId="5" numFmtId="172" pivotButton="0" quotePrefix="0" xfId="0"/>
    <xf borderId="8" fillId="0" fontId="5" numFmtId="170" pivotButton="0" quotePrefix="0" xfId="0"/>
    <xf borderId="18" fillId="0" fontId="5" numFmtId="0" pivotButton="0" quotePrefix="0" xfId="0"/>
    <xf borderId="8" fillId="0" fontId="5" numFmtId="3" pivotButton="0" quotePrefix="0" xfId="0"/>
    <xf borderId="8" fillId="0" fontId="5" numFmtId="164" pivotButton="0" quotePrefix="0" xfId="0"/>
    <xf borderId="20" fillId="0" fontId="5" numFmtId="164" pivotButton="0" quotePrefix="0" xfId="0"/>
    <xf borderId="18" fillId="0" fontId="5" numFmtId="172" pivotButton="0" quotePrefix="0" xfId="0"/>
    <xf applyAlignment="1" borderId="20" fillId="0" fontId="19" numFmtId="173" pivotButton="0" quotePrefix="0" xfId="0">
      <alignment vertical="top"/>
    </xf>
    <xf borderId="8" fillId="0" fontId="5" numFmtId="0" pivotButton="0" quotePrefix="0" xfId="0"/>
    <xf borderId="20" fillId="0" fontId="5" numFmtId="0" pivotButton="0" quotePrefix="0" xfId="0"/>
    <xf applyAlignment="1" borderId="8" fillId="0" fontId="5" numFmtId="3" pivotButton="0" quotePrefix="0" xfId="0">
      <alignment vertical="top" wrapText="1"/>
    </xf>
    <xf borderId="3" fillId="0" fontId="5" numFmtId="172" pivotButton="0" quotePrefix="0" xfId="0"/>
    <xf applyAlignment="1" borderId="3" fillId="0" fontId="5" numFmtId="0" pivotButton="0" quotePrefix="0" xfId="0">
      <alignment horizontal="right"/>
    </xf>
    <xf applyAlignment="1" borderId="0" fillId="0" fontId="4" numFmtId="0" pivotButton="0" quotePrefix="0" xfId="0">
      <alignment vertical="top"/>
    </xf>
    <xf applyAlignment="1" borderId="1" fillId="0" fontId="4" numFmtId="3" pivotButton="0" quotePrefix="0" xfId="0">
      <alignment vertical="top"/>
    </xf>
    <xf applyAlignment="1" borderId="0" fillId="0" fontId="4" numFmtId="3" pivotButton="0" quotePrefix="0" xfId="0">
      <alignment vertical="top"/>
    </xf>
    <xf applyAlignment="1" borderId="1" fillId="0" fontId="4" numFmtId="3" pivotButton="0" quotePrefix="0" xfId="0">
      <alignment vertical="top"/>
    </xf>
    <xf applyAlignment="1" borderId="0" fillId="0" fontId="4" numFmtId="164" pivotButton="0" quotePrefix="0" xfId="0">
      <alignment vertical="top"/>
    </xf>
    <xf applyAlignment="1" borderId="0" fillId="0" fontId="4" numFmtId="3" pivotButton="0" quotePrefix="0" xfId="0">
      <alignment vertical="top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borderId="1" fillId="0" fontId="4" numFmtId="0" pivotButton="0" quotePrefix="0" xfId="0"/>
    <xf applyAlignment="1" borderId="1" fillId="0" fontId="4" numFmtId="164" pivotButton="0" quotePrefix="0" xfId="0">
      <alignment horizontal="center"/>
    </xf>
    <xf applyAlignment="1" borderId="1" fillId="0" fontId="4" numFmtId="164" pivotButton="0" quotePrefix="1" xfId="0">
      <alignment horizontal="center"/>
    </xf>
    <xf borderId="1" fillId="0" fontId="4" numFmtId="164" pivotButton="0" quotePrefix="0" xfId="0"/>
    <xf borderId="1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borderId="0" fillId="0" fontId="4" numFmtId="0" pivotButton="0" quotePrefix="0" xfId="0"/>
    <xf applyAlignment="1" borderId="0" fillId="0" fontId="4" numFmtId="164" pivotButton="0" quotePrefix="0" xfId="0">
      <alignment horizontal="right"/>
    </xf>
    <xf applyAlignment="1" borderId="0" fillId="0" fontId="4" numFmtId="0" pivotButton="0" quotePrefix="0" xfId="0">
      <alignment vertical="center" wrapText="1"/>
    </xf>
    <xf borderId="0" fillId="0" fontId="4" numFmtId="164" pivotButton="0" quotePrefix="0" xfId="0"/>
    <xf applyAlignment="1" borderId="0" fillId="0" fontId="5" numFmtId="174" pivotButton="0" quotePrefix="1" xfId="4">
      <alignment horizontal="center"/>
    </xf>
    <xf borderId="0" fillId="0" fontId="5" numFmtId="174" pivotButton="0" quotePrefix="0" xfId="0"/>
    <xf borderId="0" fillId="0" fontId="5" numFmtId="16" pivotButton="0" quotePrefix="0" xfId="0"/>
    <xf borderId="0" fillId="0" fontId="42" numFmtId="0" pivotButton="0" quotePrefix="0" xfId="0"/>
    <xf borderId="0" fillId="0" fontId="19" numFmtId="3" pivotButton="0" quotePrefix="0" xfId="0"/>
    <xf borderId="0" fillId="0" fontId="5" numFmtId="164" pivotButton="0" quotePrefix="0" xfId="68"/>
    <xf applyAlignment="1" borderId="0" fillId="0" fontId="5" numFmtId="0" pivotButton="0" quotePrefix="0" xfId="0">
      <alignment horizontal="left" vertical="top" wrapText="1"/>
    </xf>
    <xf borderId="0" fillId="0" fontId="5" numFmtId="39" pivotButton="0" quotePrefix="0" xfId="0"/>
    <xf borderId="0" fillId="0" fontId="5" numFmtId="39" pivotButton="0" quotePrefix="0" xfId="0"/>
    <xf borderId="3" fillId="0" fontId="5" numFmtId="39" pivotButton="0" quotePrefix="0" xfId="0"/>
    <xf borderId="3" fillId="0" fontId="5" numFmtId="39" pivotButton="0" quotePrefix="0" xfId="0"/>
    <xf applyAlignment="1" borderId="20" fillId="0" fontId="5" numFmtId="173" pivotButton="0" quotePrefix="0" xfId="0">
      <alignment vertical="top"/>
    </xf>
    <xf borderId="0" fillId="0" fontId="5" numFmtId="170" pivotButton="0" quotePrefix="0" xfId="0"/>
    <xf borderId="0" fillId="0" fontId="5" numFmtId="16" pivotButton="0" quotePrefix="0" xfId="0"/>
    <xf applyAlignment="1" borderId="3" fillId="0" fontId="16" numFmtId="173" pivotButton="0" quotePrefix="0" xfId="0">
      <alignment vertical="top"/>
    </xf>
    <xf borderId="0" fillId="0" fontId="5" numFmtId="3" pivotButton="0" quotePrefix="0" xfId="0"/>
    <xf borderId="0" fillId="0" fontId="5" numFmtId="176" pivotButton="0" quotePrefix="0" xfId="68"/>
    <xf borderId="0" fillId="0" fontId="5" numFmtId="175" pivotButton="0" quotePrefix="0" xfId="68"/>
    <xf borderId="0" fillId="0" fontId="5" numFmtId="164" pivotButton="0" quotePrefix="0" xfId="2"/>
    <xf borderId="0" fillId="0" fontId="5" numFmtId="164" pivotButton="0" quotePrefix="0" xfId="0"/>
    <xf borderId="0" fillId="0" fontId="5" numFmtId="164" pivotButton="0" quotePrefix="0" xfId="68"/>
    <xf borderId="0" fillId="0" fontId="5" numFmtId="164" pivotButton="0" quotePrefix="0" xfId="2"/>
    <xf borderId="0" fillId="0" fontId="5" numFmtId="173" pivotButton="0" quotePrefix="0" xfId="0"/>
    <xf borderId="0" fillId="0" fontId="4" numFmtId="16" pivotButton="0" quotePrefix="0" xfId="0"/>
    <xf borderId="0" fillId="0" fontId="5" numFmtId="2" pivotButton="0" quotePrefix="0" xfId="0"/>
    <xf applyAlignment="1" borderId="0" fillId="0" fontId="16" numFmtId="173" pivotButton="0" quotePrefix="0" xfId="0">
      <alignment vertical="top"/>
    </xf>
    <xf applyAlignment="1" borderId="0" fillId="0" fontId="19" numFmtId="173" pivotButton="0" quotePrefix="0" xfId="0">
      <alignment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0" fontId="16" numFmtId="0" pivotButton="0" quotePrefix="0" xfId="0">
      <alignment horizontal="left" vertical="top" wrapText="1"/>
    </xf>
    <xf applyAlignment="1" borderId="1" fillId="0" fontId="16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 wrapText="1"/>
    </xf>
    <xf borderId="8" fillId="0" fontId="5" numFmtId="175" pivotButton="0" quotePrefix="0" xfId="68"/>
    <xf borderId="0" fillId="0" fontId="0" numFmtId="166" pivotButton="0" quotePrefix="0" xfId="1"/>
    <xf borderId="3" fillId="0" fontId="5" numFmtId="172" pivotButton="0" quotePrefix="0" xfId="0"/>
    <xf borderId="0" fillId="0" fontId="5" numFmtId="173" pivotButton="0" quotePrefix="0" xfId="0"/>
    <xf borderId="0" fillId="0" fontId="5" numFmtId="164" pivotButton="0" quotePrefix="0" xfId="0"/>
    <xf borderId="0" fillId="0" fontId="5" numFmtId="164" pivotButton="0" quotePrefix="0" xfId="2"/>
    <xf borderId="0" fillId="0" fontId="5" numFmtId="164" pivotButton="0" quotePrefix="0" xfId="68"/>
    <xf borderId="0" fillId="0" fontId="5" numFmtId="171" pivotButton="0" quotePrefix="0" xfId="0"/>
    <xf applyAlignment="1" borderId="0" fillId="0" fontId="5" numFmtId="171" pivotButton="0" quotePrefix="0" xfId="0">
      <alignment horizontal="right"/>
    </xf>
    <xf borderId="8" fillId="0" fontId="5" numFmtId="171" pivotButton="0" quotePrefix="0" xfId="0"/>
    <xf borderId="0" fillId="3" fontId="5" numFmtId="171" pivotButton="0" quotePrefix="0" xfId="0"/>
    <xf borderId="0" fillId="4" fontId="5" numFmtId="171" pivotButton="0" quotePrefix="0" xfId="0"/>
    <xf borderId="8" fillId="4" fontId="5" numFmtId="171" pivotButton="0" quotePrefix="0" xfId="0"/>
    <xf borderId="6" fillId="4" fontId="5" numFmtId="171" pivotButton="0" quotePrefix="0" xfId="0"/>
    <xf borderId="4" fillId="0" fontId="5" numFmtId="172" pivotButton="0" quotePrefix="0" xfId="0"/>
    <xf borderId="19" fillId="0" fontId="5" numFmtId="172" pivotButton="0" quotePrefix="0" xfId="0"/>
    <xf borderId="0" fillId="0" fontId="5" numFmtId="170" pivotButton="0" quotePrefix="0" xfId="0"/>
    <xf applyAlignment="1" borderId="0" fillId="0" fontId="5" numFmtId="170" pivotButton="0" quotePrefix="0" xfId="0">
      <alignment wrapText="1"/>
    </xf>
    <xf borderId="8" fillId="0" fontId="5" numFmtId="170" pivotButton="0" quotePrefix="0" xfId="0"/>
    <xf applyAlignment="1" borderId="3" fillId="0" fontId="16" numFmtId="173" pivotButton="0" quotePrefix="0" xfId="0">
      <alignment vertical="top"/>
    </xf>
    <xf applyAlignment="1" borderId="0" fillId="0" fontId="5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19" numFmtId="173" pivotButton="0" quotePrefix="0" xfId="0">
      <alignment vertical="top"/>
    </xf>
    <xf applyAlignment="1" borderId="20" fillId="0" fontId="5" numFmtId="173" pivotButton="0" quotePrefix="0" xfId="0">
      <alignment vertical="top"/>
    </xf>
    <xf borderId="8" fillId="0" fontId="5" numFmtId="164" pivotButton="0" quotePrefix="0" xfId="0"/>
    <xf borderId="3" fillId="0" fontId="5" numFmtId="164" pivotButton="0" quotePrefix="0" xfId="0"/>
    <xf borderId="20" fillId="0" fontId="5" numFmtId="164" pivotButton="0" quotePrefix="0" xfId="0"/>
    <xf borderId="0" fillId="0" fontId="5" numFmtId="175" pivotButton="0" quotePrefix="0" xfId="68"/>
    <xf borderId="8" fillId="0" fontId="5" numFmtId="175" pivotButton="0" quotePrefix="0" xfId="68"/>
    <xf borderId="0" fillId="0" fontId="5" numFmtId="176" pivotButton="0" quotePrefix="0" xfId="68"/>
    <xf borderId="2" fillId="0" fontId="5" numFmtId="172" pivotButton="0" quotePrefix="0" xfId="0"/>
    <xf applyAlignment="1" borderId="0" fillId="0" fontId="5" numFmtId="170" pivotButton="0" quotePrefix="0" xfId="0">
      <alignment horizontal="right"/>
    </xf>
    <xf applyAlignment="1" borderId="0" fillId="0" fontId="5" numFmtId="165" pivotButton="0" quotePrefix="0" xfId="0">
      <alignment vertical="top" wrapText="1"/>
    </xf>
    <xf applyAlignment="1" borderId="0" fillId="0" fontId="19" numFmtId="165" pivotButton="0" quotePrefix="0" xfId="0">
      <alignment vertical="top" wrapText="1"/>
    </xf>
    <xf applyAlignment="1" borderId="0" fillId="0" fontId="5" numFmtId="164" pivotButton="0" quotePrefix="0" xfId="0">
      <alignment horizontal="right" wrapText="1"/>
    </xf>
    <xf applyAlignment="1" borderId="6" fillId="0" fontId="5" numFmtId="164" pivotButton="0" quotePrefix="0" xfId="0">
      <alignment wrapText="1"/>
    </xf>
    <xf applyAlignment="1" borderId="0" fillId="0" fontId="5" numFmtId="164" pivotButton="0" quotePrefix="0" xfId="0">
      <alignment wrapText="1"/>
    </xf>
    <xf applyAlignment="1" borderId="0" fillId="0" fontId="5" numFmtId="171" pivotButton="0" quotePrefix="0" xfId="0">
      <alignment horizontal="right" wrapText="1"/>
    </xf>
    <xf applyAlignment="1" borderId="3" fillId="0" fontId="5" numFmtId="164" pivotButton="0" quotePrefix="0" xfId="0">
      <alignment wrapText="1"/>
    </xf>
    <xf applyAlignment="1" borderId="3" fillId="0" fontId="5" numFmtId="164" pivotButton="0" quotePrefix="0" xfId="0">
      <alignment horizontal="right" wrapText="1"/>
    </xf>
    <xf applyAlignment="1" borderId="7" fillId="0" fontId="5" numFmtId="164" pivotButton="0" quotePrefix="0" xfId="0">
      <alignment wrapText="1"/>
    </xf>
    <xf borderId="18" fillId="0" fontId="5" numFmtId="172" pivotButton="0" quotePrefix="0" xfId="0"/>
    <xf applyAlignment="1" borderId="3" fillId="0" fontId="5" numFmtId="173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0" pivotButton="0" quotePrefix="0" xfId="0">
      <alignment vertical="top"/>
    </xf>
    <xf applyAlignment="1" borderId="0" fillId="0" fontId="4" numFmtId="170" pivotButton="0" quotePrefix="0" xfId="0">
      <alignment vertical="top" wrapText="1"/>
    </xf>
    <xf applyAlignment="1" borderId="1" fillId="0" fontId="4" numFmtId="17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7" numFmtId="173" pivotButton="0" quotePrefix="0" xfId="0">
      <alignment vertical="top"/>
    </xf>
    <xf applyAlignment="1" borderId="0" fillId="0" fontId="4" numFmtId="164" pivotButton="0" quotePrefix="0" xfId="0">
      <alignment vertical="top"/>
    </xf>
    <xf applyAlignment="1" borderId="0" fillId="0" fontId="5" numFmtId="164" pivotButton="0" quotePrefix="0" xfId="0">
      <alignment vertical="top"/>
    </xf>
    <xf applyAlignment="1" borderId="1" fillId="0" fontId="4" numFmtId="164" pivotButton="0" quotePrefix="0" xfId="0">
      <alignment horizontal="center"/>
    </xf>
    <xf applyAlignment="1" borderId="1" fillId="0" fontId="4" numFmtId="164" pivotButton="0" quotePrefix="1" xfId="0">
      <alignment horizontal="center"/>
    </xf>
    <xf borderId="1" fillId="0" fontId="4" numFmtId="164" pivotButton="0" quotePrefix="0" xfId="0"/>
    <xf borderId="0" fillId="0" fontId="0" numFmtId="164" pivotButton="0" quotePrefix="0" xfId="0"/>
    <xf applyAlignment="1" borderId="0" fillId="0" fontId="4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0" numFmtId="169" pivotButton="0" quotePrefix="0" xfId="0"/>
    <xf applyAlignment="1" borderId="0" fillId="0" fontId="8" numFmtId="167" pivotButton="0" quotePrefix="0" xfId="0">
      <alignment horizontal="center"/>
    </xf>
    <xf applyAlignment="1" borderId="1" fillId="0" fontId="16" numFmtId="164" pivotButton="0" quotePrefix="0" xfId="0">
      <alignment horizontal="center"/>
    </xf>
    <xf applyAlignment="1" borderId="1" fillId="0" fontId="16" numFmtId="165" pivotButton="0" quotePrefix="0" xfId="0">
      <alignment horizontal="center"/>
    </xf>
    <xf borderId="0" fillId="0" fontId="4" numFmtId="164" pivotButton="0" quotePrefix="0" xfId="0"/>
    <xf applyAlignment="1" borderId="1" fillId="0" fontId="0" numFmtId="168" pivotButton="0" quotePrefix="0" xfId="0">
      <alignment horizontal="center" wrapText="1"/>
    </xf>
    <xf applyAlignment="1" borderId="0" fillId="0" fontId="8" numFmtId="164" pivotButton="0" quotePrefix="0" xfId="0">
      <alignment horizontal="center"/>
    </xf>
    <xf applyAlignment="1" borderId="3" fillId="0" fontId="19" numFmtId="173" pivotButton="0" quotePrefix="0" xfId="0">
      <alignment vertical="top"/>
    </xf>
    <xf applyAlignment="1" borderId="20" fillId="0" fontId="19" numFmtId="173" pivotButton="0" quotePrefix="0" xfId="0">
      <alignment vertical="top"/>
    </xf>
    <xf borderId="0" fillId="0" fontId="5" numFmtId="172" pivotButton="0" quotePrefix="0" xfId="0"/>
  </cellXfs>
  <cellStyles count="69">
    <cellStyle builtinId="0" name="Normal" xfId="0"/>
    <cellStyle builtinId="5" name="Percent" xfId="1"/>
    <cellStyle builtinId="3" name="Comma" xfId="2"/>
    <cellStyle name="Normal 2" xfId="3"/>
    <cellStyle name="Comma 2" xfId="4"/>
    <cellStyle name="Currency 2" xfId="5"/>
    <cellStyle builtinId="15" name="Title" xfId="6"/>
    <cellStyle builtinId="16" name="Heading 1" xfId="7"/>
    <cellStyle builtinId="17" name="Heading 2" xfId="8"/>
    <cellStyle builtinId="18" name="Heading 3" xfId="9"/>
    <cellStyle builtinId="19" name="Heading 4" xfId="10"/>
    <cellStyle builtinId="26" name="Good" xfId="11"/>
    <cellStyle builtinId="27" name="Bad" xfId="12"/>
    <cellStyle builtinId="28" name="Neutral" xfId="13"/>
    <cellStyle builtinId="20" name="Input" xfId="14"/>
    <cellStyle builtinId="21" name="Output" xfId="15"/>
    <cellStyle builtinId="22" name="Calculation" xfId="16"/>
    <cellStyle builtinId="24" name="Linked Cell" xfId="17"/>
    <cellStyle builtinId="23" name="Check Cell" xfId="18"/>
    <cellStyle builtinId="11" name="Warning Text" xfId="19"/>
    <cellStyle builtinId="53" name="Explanatory Text" xfId="20"/>
    <cellStyle builtinId="25" name="Total" xfId="21"/>
    <cellStyle builtinId="29" name="Accent1" xfId="22"/>
    <cellStyle name="20% - Accent1" xfId="23"/>
    <cellStyle name="40% - Accent1" xfId="24"/>
    <cellStyle builtinId="32" name="60% - Accent1" xfId="25"/>
    <cellStyle builtinId="33" name="Accent2" xfId="26"/>
    <cellStyle name="20% - Accent2" xfId="27"/>
    <cellStyle name="40% - Accent2" xfId="28"/>
    <cellStyle builtinId="36" name="60% - Accent2" xfId="29"/>
    <cellStyle builtinId="37" name="Accent3" xfId="30"/>
    <cellStyle name="20% - Accent3" xfId="31"/>
    <cellStyle name="40% - Accent3" xfId="32"/>
    <cellStyle builtinId="40" name="60% - Accent3" xfId="33"/>
    <cellStyle builtinId="41" name="Accent4" xfId="34"/>
    <cellStyle name="20% - Accent4" xfId="35"/>
    <cellStyle name="40% - Accent4" xfId="36"/>
    <cellStyle builtinId="44" name="60% - Accent4" xfId="37"/>
    <cellStyle builtinId="45" name="Accent5" xfId="38"/>
    <cellStyle name="20% - Accent5" xfId="39"/>
    <cellStyle name="40% - Accent5" xfId="40"/>
    <cellStyle builtinId="48" name="60% - Accent5" xfId="41"/>
    <cellStyle builtinId="49" name="Accent6" xfId="42"/>
    <cellStyle name="20% - Accent6" xfId="43"/>
    <cellStyle name="40% - Accent6" xfId="44"/>
    <cellStyle builtinId="52" name="60% - Accent6" xfId="45"/>
    <cellStyle name="Normal 3" xfId="46"/>
    <cellStyle name="Note 2" xfId="47"/>
    <cellStyle name="Comma 3" xfId="48"/>
    <cellStyle name="Normal 3 2" xfId="49"/>
    <cellStyle name="Percent 2" xfId="50"/>
    <cellStyle name="Percent 3" xfId="51"/>
    <cellStyle name="20% - Accent1 2" xfId="52"/>
    <cellStyle name="40% - Accent1 2" xfId="53"/>
    <cellStyle name="20% - Accent2 2" xfId="54"/>
    <cellStyle name="40% - Accent2 2" xfId="55"/>
    <cellStyle name="20% - Accent3 2" xfId="56"/>
    <cellStyle name="40% - Accent3 2" xfId="57"/>
    <cellStyle name="20% - Accent4 2" xfId="58"/>
    <cellStyle name="40% - Accent4 2" xfId="59"/>
    <cellStyle name="20% - Accent5 2" xfId="60"/>
    <cellStyle name="40% - Accent5 2" xfId="61"/>
    <cellStyle name="20% - Accent6 2" xfId="62"/>
    <cellStyle name="40% - Accent6 2" xfId="63"/>
    <cellStyle name="Normal 3 3" xfId="64"/>
    <cellStyle name="Note 2 2" xfId="65"/>
    <cellStyle name="Comma 3 2" xfId="66"/>
    <cellStyle name="Note" xfId="67"/>
    <cellStyle builtinId="4" name="Currency" xfId="6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ucmuser</author>
  </authors>
  <commentList>
    <comment authorId="0" ref="B5" shapeId="0">
      <text>
        <t>ucmuser:
= (Wilson + ElCap+ Sunpower +UCOP)/(Wilson+ElCap+Sunpower)</t>
      </text>
    </comment>
  </commentList>
</comments>
</file>

<file path=xl/comments/comment2.xml><?xml version="1.0" encoding="utf-8"?>
<comments xmlns="http://schemas.openxmlformats.org/spreadsheetml/2006/main">
  <authors>
    <author>ucmuser</author>
    <author>FMEnergy</author>
    <author>James Ly</author>
  </authors>
  <commentList>
    <comment authorId="0" ref="B5" shapeId="0">
      <text>
        <t>ucmuser:
= PGE 0646833510</t>
      </text>
    </comment>
    <comment authorId="0" ref="G12" shapeId="0">
      <text>
        <t>Gabriel: average usage from 2015/16 recharges
</t>
      </text>
    </comment>
    <comment authorId="0" ref="H12" shapeId="0">
      <text>
        <t>Gabriel: average usage from 2015/16 recharges
</t>
      </text>
    </comment>
    <comment authorId="1" ref="I12" shapeId="0">
      <text>
        <t>FMEnergy:
last 2 year average</t>
      </text>
    </comment>
    <comment authorId="2" ref="K12" shapeId="0">
      <text>
        <t>James Ly:
Last 2 years' average
</t>
      </text>
    </comment>
  </commentList>
</comments>
</file>

<file path=xl/comments/comment3.xml><?xml version="1.0" encoding="utf-8"?>
<comments xmlns="http://schemas.openxmlformats.org/spreadsheetml/2006/main">
  <authors>
    <author>ucmuser</author>
  </authors>
  <commentList>
    <comment authorId="0" ref="B5" shapeId="0">
      <text>
        <t>ucmuser:
=City of Merced $/(Actual*748/1000)</t>
      </text>
    </comment>
  </commentList>
</comments>
</file>

<file path=xl/comments/comment4.xml><?xml version="1.0" encoding="utf-8"?>
<comments xmlns="http://schemas.openxmlformats.org/spreadsheetml/2006/main">
  <authors>
    <author>John Elliott</author>
  </authors>
  <commentList>
    <comment authorId="0" ref="C140" shapeId="0">
      <text>
        <t>John Elliott:
Corrected from previous versions</t>
      </text>
    </comment>
    <comment authorId="0" ref="F140" shapeId="0">
      <text>
        <t>John Elliott:
Corrected from previous versions</t>
      </text>
    </comment>
  </commentList>
</comments>
</file>

<file path=xl/comments/comment5.xml><?xml version="1.0" encoding="utf-8"?>
<comments xmlns="http://schemas.openxmlformats.org/spreadsheetml/2006/main">
  <authors>
    <author>Sajid Mian</author>
  </authors>
  <commentList>
    <comment authorId="0" ref="D7" shapeId="0">
      <text>
        <t>Sajid Mian:
Reset the waterr meter at Dining- on previous visit</t>
      </text>
    </comment>
    <comment authorId="0" ref="D19" shapeId="0">
      <text>
        <t>Sajid Mian:
Ramon took meter readings on 5/2/06. Had great difficulty to access the meter</t>
      </text>
    </comment>
    <comment authorId="0" ref="D106" shapeId="0">
      <text>
        <t>Sajid Mian:
Water meter has been reset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C16"/>
  <sheetViews>
    <sheetView workbookViewId="0">
      <selection activeCell="A1" sqref="A1:C16"/>
    </sheetView>
  </sheetViews>
  <sheetFormatPr baseColWidth="8" defaultRowHeight="12.75"/>
  <sheetData>
    <row r="1" spans="1:3">
      <c r="A1" t="s">
        <v>0</v>
      </c>
    </row>
    <row r="3" spans="1:3">
      <c r="A3">
        <f>'Electric old'!B4</f>
        <v/>
      </c>
      <c r="B3" s="18">
        <f>'Electric old'!E4+'Electric old'!E16+'Electric old'!E28+'Electric old'!E40+'Electric old'!E52+'Electric old'!E64+'Electric old'!E76+'Electric old'!E88+'Electric old'!E100+'Electric old'!E112+'Electric old'!E124</f>
        <v/>
      </c>
      <c r="C3" s="242">
        <f>B3/$B$16</f>
        <v/>
      </c>
    </row>
    <row r="4" spans="1:3">
      <c r="A4">
        <f>'Electric old'!B5</f>
        <v/>
      </c>
      <c r="B4" s="18">
        <f>'Electric old'!E5+'Electric old'!E17+'Electric old'!E29+'Electric old'!E41+'Electric old'!E53+'Electric old'!E65+'Electric old'!E77+'Electric old'!E89+'Electric old'!E101+'Electric old'!E113+'Electric old'!E125</f>
        <v/>
      </c>
      <c r="C4" s="242">
        <f>B4/$B$16</f>
        <v/>
      </c>
    </row>
    <row r="5" spans="1:3">
      <c r="A5">
        <f>'Electric old'!B6</f>
        <v/>
      </c>
      <c r="B5" s="18">
        <f>'Electric old'!E6+'Electric old'!E18+'Electric old'!E30+'Electric old'!E42+'Electric old'!E54+'Electric old'!E66+'Electric old'!E78+'Electric old'!E90+'Electric old'!E102+'Electric old'!E114+'Electric old'!E126</f>
        <v/>
      </c>
      <c r="C5" s="242">
        <f>B5/$B$16</f>
        <v/>
      </c>
    </row>
    <row r="6" spans="1:3">
      <c r="A6">
        <f>'Electric old'!B7</f>
        <v/>
      </c>
      <c r="B6" s="18">
        <f>'Electric old'!E7+'Electric old'!E19+'Electric old'!E31+'Electric old'!E43+'Electric old'!E55+'Electric old'!E67+'Electric old'!E79+'Electric old'!E91+'Electric old'!E103+'Electric old'!E115+'Electric old'!E127</f>
        <v/>
      </c>
      <c r="C6" s="242">
        <f>B6/$B$16</f>
        <v/>
      </c>
    </row>
    <row r="7" spans="1:3">
      <c r="A7">
        <f>'Electric old'!B8</f>
        <v/>
      </c>
      <c r="B7" s="18">
        <f>'Electric old'!E8+'Electric old'!E20+'Electric old'!E32+'Electric old'!E44+'Electric old'!E56+'Electric old'!E68+'Electric old'!E80+'Electric old'!E92+'Electric old'!E104+'Electric old'!E116+'Electric old'!E128</f>
        <v/>
      </c>
      <c r="C7" s="242">
        <f>B7/$B$16</f>
        <v/>
      </c>
    </row>
    <row r="8" spans="1:3">
      <c r="A8">
        <f>'Electric old'!B9</f>
        <v/>
      </c>
      <c r="B8" s="18">
        <f>'Electric old'!E9+'Electric old'!E21+'Electric old'!E33+'Electric old'!E45+'Electric old'!E57+'Electric old'!E69+'Electric old'!E81+'Electric old'!E93+'Electric old'!E105+'Electric old'!E117+'Electric old'!E129</f>
        <v/>
      </c>
      <c r="C8" s="242">
        <f>B8/$B$16</f>
        <v/>
      </c>
    </row>
    <row r="9" spans="1:3">
      <c r="A9">
        <f>'Electric old'!B10</f>
        <v/>
      </c>
      <c r="B9" s="18">
        <f>'Electric old'!E10+'Electric old'!E22+'Electric old'!E34+'Electric old'!E46+'Electric old'!E58+'Electric old'!E70+'Electric old'!E82+'Electric old'!E94+'Electric old'!E106+'Electric old'!E118+'Electric old'!E130</f>
        <v/>
      </c>
      <c r="C9" s="242">
        <f>B9/$B$16</f>
        <v/>
      </c>
    </row>
    <row r="10" spans="1:3">
      <c r="A10">
        <f>'Electric old'!B11</f>
        <v/>
      </c>
      <c r="B10" s="18">
        <f>'Electric old'!E11+'Electric old'!E23+'Electric old'!E35+'Electric old'!E47+'Electric old'!E59+'Electric old'!E71+'Electric old'!E83+'Electric old'!E95+'Electric old'!E107+'Electric old'!E119+'Electric old'!E131</f>
        <v/>
      </c>
      <c r="C10" s="242">
        <f>B10/$B$16</f>
        <v/>
      </c>
    </row>
    <row r="11" spans="1:3">
      <c r="A11">
        <f>'Electric old'!B12</f>
        <v/>
      </c>
      <c r="B11" s="18">
        <f>'Electric old'!E12+'Electric old'!E24+'Electric old'!E36+'Electric old'!E48+'Electric old'!E60+'Electric old'!E72+'Electric old'!E84+'Electric old'!E96+'Electric old'!E108+'Electric old'!E120+'Electric old'!E132</f>
        <v/>
      </c>
      <c r="C11" s="242">
        <f>B11/$B$16</f>
        <v/>
      </c>
    </row>
    <row r="12" spans="1:3">
      <c r="A12">
        <f>'Electric old'!B13</f>
        <v/>
      </c>
      <c r="B12" s="46" t="n">
        <v>70000</v>
      </c>
      <c r="C12" s="242">
        <f>B12/$B$16</f>
        <v/>
      </c>
    </row>
    <row r="13" spans="1:3">
      <c r="A13">
        <f>'Electric old'!B14</f>
        <v/>
      </c>
      <c r="B13" s="46" t="n">
        <v>70000</v>
      </c>
      <c r="C13" s="242">
        <f>B13/$B$16</f>
        <v/>
      </c>
    </row>
    <row r="14" spans="1:3">
      <c r="A14">
        <f>'Electric old'!B15</f>
        <v/>
      </c>
      <c r="B14" s="46" t="n">
        <v>70000</v>
      </c>
      <c r="C14" s="242">
        <f>B14/$B$16</f>
        <v/>
      </c>
    </row>
    <row r="16" spans="1:3">
      <c r="A16" t="s">
        <v>1</v>
      </c>
      <c r="B16" s="18">
        <f>SUM(B3:B15)</f>
        <v/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/>
  </sheetPr>
  <dimension ref="A1:J312"/>
  <sheetViews>
    <sheetView topLeftCell="A91" workbookViewId="0" zoomScale="115" zoomScaleNormal="115">
      <selection activeCell="E62" sqref="E62"/>
    </sheetView>
  </sheetViews>
  <sheetFormatPr baseColWidth="8" defaultRowHeight="12.75" outlineLevelCol="0"/>
  <cols>
    <col customWidth="1" max="1" min="1" style="8" width="18.7109375"/>
    <col bestFit="1" customWidth="1" max="2" min="2" style="146" width="12.5703125"/>
    <col customWidth="1" max="4" min="3" style="15" width="12.7109375"/>
    <col bestFit="1" customWidth="1" max="5" min="5" style="15" width="13.5703125"/>
    <col customWidth="1" max="6" min="6" style="15" width="13.5703125"/>
    <col customWidth="1" max="7" min="7" style="15" width="12.7109375"/>
    <col customWidth="1" max="9" min="9" style="146" width="18.140625"/>
  </cols>
  <sheetData>
    <row customHeight="1" ht="15.75" r="1" s="146" spans="1:10">
      <c r="A1" s="31" t="s">
        <v>129</v>
      </c>
    </row>
    <row customHeight="1" ht="18" r="2" s="146" spans="1:10">
      <c r="A2" s="10" t="n"/>
    </row>
    <row customHeight="1" ht="25.5" r="3" s="146" spans="1:10">
      <c r="A3" s="32" t="s">
        <v>57</v>
      </c>
      <c r="B3" s="26" t="s">
        <v>4</v>
      </c>
      <c r="C3" s="26" t="s">
        <v>106</v>
      </c>
      <c r="D3" s="26" t="s">
        <v>130</v>
      </c>
      <c r="E3" s="26" t="s">
        <v>131</v>
      </c>
      <c r="F3" s="26" t="s">
        <v>58</v>
      </c>
      <c r="G3" s="26" t="s">
        <v>37</v>
      </c>
    </row>
    <row r="4" spans="1:10">
      <c r="A4" s="240" t="s">
        <v>132</v>
      </c>
      <c r="B4" s="6" t="s">
        <v>109</v>
      </c>
      <c r="C4" s="12" t="n"/>
      <c r="D4" s="13" t="n"/>
      <c r="E4" s="13" t="n"/>
      <c r="F4" s="13" t="n"/>
      <c r="G4" s="298" t="n"/>
    </row>
    <row r="5" spans="1:10">
      <c r="B5" s="6" t="s">
        <v>110</v>
      </c>
      <c r="C5" s="12" t="n"/>
      <c r="D5" s="13" t="n"/>
      <c r="E5" s="13" t="n"/>
      <c r="F5" s="13" t="n"/>
      <c r="G5" s="298" t="n"/>
    </row>
    <row r="6" spans="1:10">
      <c r="B6" s="6" t="s">
        <v>112</v>
      </c>
      <c r="C6" s="12" t="n"/>
      <c r="D6" s="13" t="n"/>
      <c r="E6" s="13" t="n"/>
      <c r="F6" s="13" t="n"/>
      <c r="G6" s="298" t="n"/>
    </row>
    <row r="7" spans="1:10">
      <c r="B7" s="6" t="s">
        <v>114</v>
      </c>
      <c r="C7" s="12" t="n">
        <v>38838</v>
      </c>
      <c r="D7" s="13" t="n">
        <v>218403</v>
      </c>
      <c r="E7" s="13" t="n">
        <v>218403</v>
      </c>
      <c r="F7" s="297" t="n">
        <v>1.466827</v>
      </c>
      <c r="G7" s="298">
        <f>(E7/1000)*1.466827</f>
        <v/>
      </c>
    </row>
    <row r="8" spans="1:10">
      <c r="B8" s="6" t="s">
        <v>116</v>
      </c>
      <c r="C8" s="12" t="n">
        <v>38869</v>
      </c>
      <c r="D8" s="4" t="n">
        <v>0</v>
      </c>
      <c r="E8" s="13" t="n">
        <v>119456</v>
      </c>
      <c r="F8" s="297" t="n">
        <v>1.4599935478</v>
      </c>
      <c r="G8" s="298">
        <f>(E8/1000)*1.4599935478</f>
        <v/>
      </c>
      <c r="I8" s="17" t="n"/>
    </row>
    <row r="9" spans="1:10">
      <c r="B9" s="6" t="s">
        <v>117</v>
      </c>
      <c r="C9" s="12" t="n">
        <v>38896</v>
      </c>
      <c r="D9" s="13" t="n">
        <v>136405</v>
      </c>
      <c r="E9" s="13" t="n">
        <v>136405</v>
      </c>
      <c r="F9" s="297" t="n">
        <v>1.4480832864</v>
      </c>
      <c r="G9" s="298">
        <f>(E9/1000)*1.4480832864</f>
        <v/>
      </c>
      <c r="I9" s="23" t="n"/>
    </row>
    <row r="10" spans="1:10">
      <c r="B10" s="6" t="s">
        <v>118</v>
      </c>
      <c r="C10" s="12" t="n">
        <v>38925</v>
      </c>
      <c r="D10" s="13" t="n">
        <v>157566</v>
      </c>
      <c r="E10" s="13" t="n">
        <v>21161</v>
      </c>
      <c r="F10" s="297" t="n">
        <v>1.43966296</v>
      </c>
      <c r="G10" s="298">
        <f>(E10/1000)*1.43966296</f>
        <v/>
      </c>
      <c r="I10" s="24" t="n"/>
    </row>
    <row r="11" spans="1:10">
      <c r="B11" s="6" t="s">
        <v>119</v>
      </c>
      <c r="C11" s="12" t="n">
        <v>38965</v>
      </c>
      <c r="D11" s="13" t="n">
        <v>202655</v>
      </c>
      <c r="E11" s="13">
        <f>D11-D10</f>
        <v/>
      </c>
      <c r="F11" s="297" t="n">
        <v>1.4295233641</v>
      </c>
      <c r="G11" s="298">
        <f>(E11/1000)*1.4295233641</f>
        <v/>
      </c>
      <c r="I11" s="24" t="n"/>
    </row>
    <row r="12" spans="1:10">
      <c r="B12" s="6" t="s">
        <v>120</v>
      </c>
      <c r="C12" s="12" t="n">
        <v>38993</v>
      </c>
      <c r="D12" s="13" t="n">
        <v>279159</v>
      </c>
      <c r="E12" s="13">
        <f>D12-D11</f>
        <v/>
      </c>
      <c r="F12" s="297" t="n">
        <v>1.424126085998608</v>
      </c>
      <c r="G12" s="298">
        <f>E12/1000*F12</f>
        <v/>
      </c>
    </row>
    <row r="13" spans="1:10">
      <c r="B13" s="6" t="s">
        <v>121</v>
      </c>
      <c r="C13" s="12" t="n">
        <v>39035</v>
      </c>
      <c r="D13" s="13" t="n">
        <v>390168</v>
      </c>
      <c r="E13" s="13">
        <f>D13-D12</f>
        <v/>
      </c>
      <c r="F13" s="297" t="n">
        <v>1.4306</v>
      </c>
      <c r="G13" s="298">
        <f>E13/1000*F13</f>
        <v/>
      </c>
      <c r="I13" s="18" t="n"/>
    </row>
    <row r="14" spans="1:10">
      <c r="B14" s="6" t="s">
        <v>122</v>
      </c>
      <c r="C14" s="12" t="n">
        <v>39056</v>
      </c>
      <c r="D14" s="13" t="n">
        <v>433393</v>
      </c>
      <c r="E14" s="13">
        <f>D14-D13</f>
        <v/>
      </c>
      <c r="F14" s="297" t="n">
        <v>1.434</v>
      </c>
      <c r="G14" s="298">
        <f>E14/1000*F14</f>
        <v/>
      </c>
    </row>
    <row r="15" spans="1:10">
      <c r="B15" s="6" t="s">
        <v>123</v>
      </c>
      <c r="C15" s="12" t="n">
        <v>38725</v>
      </c>
      <c r="D15" s="59" t="n">
        <v>463056</v>
      </c>
      <c r="E15" s="13">
        <f>D15-D14</f>
        <v/>
      </c>
      <c r="F15" s="297" t="n">
        <v>1.459097532447671</v>
      </c>
      <c r="G15" s="298">
        <f>E15/1000*F15</f>
        <v/>
      </c>
    </row>
    <row r="16" spans="1:10">
      <c r="A16" s="240" t="s">
        <v>133</v>
      </c>
      <c r="B16" s="6" t="s">
        <v>109</v>
      </c>
      <c r="C16" s="12" t="n"/>
      <c r="D16" s="13" t="n"/>
      <c r="E16" s="13" t="n"/>
      <c r="F16" s="13" t="n"/>
      <c r="G16" s="298" t="n"/>
    </row>
    <row r="17" spans="1:10">
      <c r="B17" s="6" t="s">
        <v>110</v>
      </c>
      <c r="C17" s="12" t="n"/>
      <c r="D17" s="13" t="n"/>
      <c r="E17" s="13" t="n"/>
      <c r="F17" s="13" t="n"/>
      <c r="G17" s="298" t="n"/>
    </row>
    <row r="18" spans="1:10">
      <c r="B18" s="6" t="s">
        <v>112</v>
      </c>
      <c r="C18" s="12" t="n"/>
      <c r="D18" s="13" t="n">
        <v>357993</v>
      </c>
      <c r="E18" s="13" t="n"/>
      <c r="F18" s="13" t="n"/>
      <c r="G18" s="298" t="n"/>
    </row>
    <row r="19" spans="1:10">
      <c r="B19" s="6" t="s">
        <v>114</v>
      </c>
      <c r="C19" s="12" t="n">
        <v>38839</v>
      </c>
      <c r="D19" s="13" t="n">
        <v>456376</v>
      </c>
      <c r="E19" s="13">
        <f>D19-D18</f>
        <v/>
      </c>
      <c r="F19" s="297" t="n">
        <v>1.466827</v>
      </c>
      <c r="G19" s="298">
        <f>(E19/1000)*1.466827</f>
        <v/>
      </c>
    </row>
    <row r="20" spans="1:10">
      <c r="B20" s="6" t="s">
        <v>116</v>
      </c>
      <c r="C20" s="12" t="n">
        <v>38869</v>
      </c>
      <c r="D20" s="13" t="n">
        <v>521384</v>
      </c>
      <c r="E20" s="13">
        <f>D20-D19</f>
        <v/>
      </c>
      <c r="F20" s="297" t="n">
        <v>1.4599935478</v>
      </c>
      <c r="G20" s="298">
        <f>(E20/1000)*1.4599935478</f>
        <v/>
      </c>
      <c r="I20" s="305" t="n"/>
    </row>
    <row r="21" spans="1:10">
      <c r="B21" s="6" t="s">
        <v>117</v>
      </c>
      <c r="C21" s="12" t="n">
        <v>38896</v>
      </c>
      <c r="D21" s="13" t="n">
        <v>527288</v>
      </c>
      <c r="E21" s="13">
        <f>D21-D20</f>
        <v/>
      </c>
      <c r="F21" s="297" t="n">
        <v>1.4480832864</v>
      </c>
      <c r="G21" s="298">
        <f>(E21/1000)*1.4480832864</f>
        <v/>
      </c>
      <c r="I21" s="17" t="n"/>
    </row>
    <row r="22" spans="1:10">
      <c r="B22" s="6" t="s">
        <v>118</v>
      </c>
      <c r="C22" s="12" t="n">
        <v>38925</v>
      </c>
      <c r="D22" s="13" t="n">
        <v>537280</v>
      </c>
      <c r="E22" s="13" t="n">
        <v>9992</v>
      </c>
      <c r="F22" s="297" t="n">
        <v>1.43966296</v>
      </c>
      <c r="G22" s="298">
        <f>(E22/1000)*1.43966296</f>
        <v/>
      </c>
      <c r="I22" s="22" t="n"/>
    </row>
    <row r="23" spans="1:10">
      <c r="B23" s="6" t="s">
        <v>119</v>
      </c>
      <c r="C23" s="12" t="n">
        <v>38965</v>
      </c>
      <c r="D23" s="13" t="n">
        <v>579263</v>
      </c>
      <c r="E23" s="13">
        <f>D23-D22</f>
        <v/>
      </c>
      <c r="F23" s="297" t="n">
        <v>1.4295233641</v>
      </c>
      <c r="G23" s="298">
        <f>(E23/1000)*1.4295233641</f>
        <v/>
      </c>
      <c r="I23" s="11" t="n"/>
    </row>
    <row r="24" spans="1:10">
      <c r="B24" s="6" t="s">
        <v>120</v>
      </c>
      <c r="C24" s="12" t="n">
        <v>38993</v>
      </c>
      <c r="D24" s="13" t="n">
        <v>660645</v>
      </c>
      <c r="E24" s="13">
        <f>D24-D23</f>
        <v/>
      </c>
      <c r="F24" s="297" t="n">
        <v>1.424126085998608</v>
      </c>
      <c r="G24" s="298">
        <f>E24/1000*F24</f>
        <v/>
      </c>
      <c r="I24" s="22" t="n"/>
    </row>
    <row r="25" spans="1:10">
      <c r="B25" s="6" t="s">
        <v>121</v>
      </c>
      <c r="C25" s="12" t="n">
        <v>39035</v>
      </c>
      <c r="D25" s="13" t="s">
        <v>134</v>
      </c>
      <c r="E25" s="13" t="s">
        <v>134</v>
      </c>
      <c r="F25" s="297" t="n">
        <v>1.4306</v>
      </c>
      <c r="G25" s="13" t="s">
        <v>134</v>
      </c>
      <c r="I25" s="18" t="n"/>
    </row>
    <row r="26" spans="1:10">
      <c r="B26" s="6" t="s">
        <v>122</v>
      </c>
      <c r="C26" s="12" t="n">
        <v>39056</v>
      </c>
      <c r="D26" s="13" t="s">
        <v>134</v>
      </c>
      <c r="E26" s="13" t="s">
        <v>134</v>
      </c>
      <c r="F26" s="297" t="n">
        <v>1.434</v>
      </c>
      <c r="G26" s="13" t="s">
        <v>134</v>
      </c>
    </row>
    <row r="27" spans="1:10">
      <c r="B27" s="6" t="s">
        <v>123</v>
      </c>
      <c r="C27" s="12" t="n">
        <v>38725</v>
      </c>
      <c r="D27" s="59" t="n">
        <v>1013695</v>
      </c>
      <c r="E27" s="13">
        <f>D27-D24</f>
        <v/>
      </c>
      <c r="F27" s="297" t="n">
        <v>1.459097532447671</v>
      </c>
      <c r="G27" s="298">
        <f>E27/1000*F27</f>
        <v/>
      </c>
    </row>
    <row r="28" spans="1:10">
      <c r="A28" s="240" t="s">
        <v>135</v>
      </c>
      <c r="B28" s="6" t="s">
        <v>109</v>
      </c>
      <c r="C28" s="12" t="n"/>
      <c r="D28" s="13" t="n"/>
      <c r="E28" s="13" t="n"/>
      <c r="F28" s="13" t="n"/>
      <c r="G28" s="298" t="n"/>
    </row>
    <row r="29" spans="1:10">
      <c r="B29" s="6" t="s">
        <v>110</v>
      </c>
      <c r="C29" s="12" t="n"/>
      <c r="D29" s="13" t="n"/>
      <c r="E29" s="13" t="n"/>
      <c r="F29" s="13" t="n"/>
      <c r="G29" s="298" t="n"/>
    </row>
    <row r="30" spans="1:10">
      <c r="B30" s="6" t="s">
        <v>112</v>
      </c>
      <c r="C30" s="12" t="n"/>
      <c r="D30" s="13" t="n">
        <v>187391</v>
      </c>
      <c r="E30" s="13" t="n"/>
      <c r="F30" s="13" t="n"/>
      <c r="G30" s="298" t="n"/>
    </row>
    <row r="31" spans="1:10">
      <c r="B31" s="6" t="s">
        <v>114</v>
      </c>
      <c r="C31" s="12" t="n">
        <v>38838</v>
      </c>
      <c r="D31" s="13" t="n">
        <v>231620</v>
      </c>
      <c r="E31" s="13">
        <f>D31-D30</f>
        <v/>
      </c>
      <c r="F31" s="297" t="n">
        <v>1.466827</v>
      </c>
      <c r="G31" s="298">
        <f>(E31/1000)*1.466827</f>
        <v/>
      </c>
    </row>
    <row r="32" spans="1:10">
      <c r="B32" s="6" t="s">
        <v>116</v>
      </c>
      <c r="C32" s="12" t="n">
        <v>38869</v>
      </c>
      <c r="D32" s="13" t="n">
        <v>261241</v>
      </c>
      <c r="E32" s="13">
        <f>D32-D31</f>
        <v/>
      </c>
      <c r="F32" s="297" t="n">
        <v>1.4599935478</v>
      </c>
      <c r="G32" s="298">
        <f>(E32/1000)*1.4599935478</f>
        <v/>
      </c>
    </row>
    <row r="33" spans="1:10">
      <c r="B33" s="6" t="s">
        <v>117</v>
      </c>
      <c r="C33" s="12" t="n">
        <v>38896</v>
      </c>
      <c r="D33" s="13" t="n">
        <v>261527</v>
      </c>
      <c r="E33" s="13">
        <f>D33-D32</f>
        <v/>
      </c>
      <c r="F33" s="297" t="n">
        <v>1.4480832864</v>
      </c>
      <c r="G33" s="298">
        <f>(E33/1000)*1.4480832864</f>
        <v/>
      </c>
    </row>
    <row r="34" spans="1:10">
      <c r="B34" s="6" t="s">
        <v>118</v>
      </c>
      <c r="C34" s="12" t="n">
        <v>38925</v>
      </c>
      <c r="D34" s="13" t="n">
        <v>261773</v>
      </c>
      <c r="E34" s="13" t="n">
        <v>246</v>
      </c>
      <c r="F34" s="297" t="n">
        <v>1.43966296</v>
      </c>
      <c r="G34" s="298">
        <f>(E34/1000)*1.43966296</f>
        <v/>
      </c>
      <c r="I34" s="18" t="n"/>
    </row>
    <row r="35" spans="1:10">
      <c r="B35" s="6" t="s">
        <v>119</v>
      </c>
      <c r="C35" s="12" t="n">
        <v>38965</v>
      </c>
      <c r="D35" s="13" t="n">
        <v>284721</v>
      </c>
      <c r="E35" s="13">
        <f>D35-D34</f>
        <v/>
      </c>
      <c r="F35" s="297" t="n">
        <v>1.4295233641</v>
      </c>
      <c r="G35" s="298">
        <f>(E35/1000)*1.4295233641</f>
        <v/>
      </c>
      <c r="I35" s="11" t="n"/>
    </row>
    <row r="36" spans="1:10">
      <c r="B36" s="6" t="s">
        <v>120</v>
      </c>
      <c r="C36" s="12" t="n">
        <v>38993</v>
      </c>
      <c r="D36" s="13" t="n">
        <v>349803</v>
      </c>
      <c r="E36" s="13">
        <f>D36-D35</f>
        <v/>
      </c>
      <c r="F36" s="297" t="n">
        <v>1.424126085998608</v>
      </c>
      <c r="G36" s="298">
        <f>E36/1000*F36</f>
        <v/>
      </c>
      <c r="I36" s="22" t="n"/>
    </row>
    <row r="37" spans="1:10">
      <c r="B37" s="6" t="s">
        <v>121</v>
      </c>
      <c r="C37" s="12" t="n">
        <v>39035</v>
      </c>
      <c r="D37" s="13" t="n">
        <v>439430</v>
      </c>
      <c r="E37" s="13">
        <f>D37-D36</f>
        <v/>
      </c>
      <c r="F37" s="297" t="n">
        <v>1.4306</v>
      </c>
      <c r="G37" s="298">
        <f>E37/1000*F37</f>
        <v/>
      </c>
      <c r="I37" s="17" t="n"/>
    </row>
    <row r="38" spans="1:10">
      <c r="B38" s="6" t="s">
        <v>122</v>
      </c>
      <c r="C38" s="12" t="n">
        <v>39056</v>
      </c>
      <c r="D38" s="13" t="n">
        <v>481480</v>
      </c>
      <c r="E38" s="13">
        <f>D38-D37</f>
        <v/>
      </c>
      <c r="F38" s="297" t="n">
        <v>1.434</v>
      </c>
      <c r="G38" s="298">
        <f>E38/1000*F38</f>
        <v/>
      </c>
      <c r="I38" s="18" t="n"/>
      <c r="J38" s="18" t="n"/>
    </row>
    <row r="39" spans="1:10">
      <c r="B39" s="6" t="s">
        <v>123</v>
      </c>
      <c r="C39" s="12" t="n">
        <v>38725</v>
      </c>
      <c r="D39" s="59" t="n">
        <v>506512</v>
      </c>
      <c r="E39" s="13">
        <f>D39-D38</f>
        <v/>
      </c>
      <c r="F39" s="297" t="n">
        <v>1.459097532447671</v>
      </c>
      <c r="G39" s="298">
        <f>E39/1000*F39</f>
        <v/>
      </c>
    </row>
    <row r="40" spans="1:10">
      <c r="A40" s="240" t="s">
        <v>136</v>
      </c>
      <c r="B40" s="6" t="s">
        <v>109</v>
      </c>
      <c r="C40" s="12" t="n"/>
      <c r="D40" s="13" t="n"/>
      <c r="E40" s="13" t="n"/>
      <c r="F40" s="13" t="n"/>
      <c r="G40" s="298" t="n"/>
    </row>
    <row r="41" spans="1:10">
      <c r="B41" s="6" t="s">
        <v>110</v>
      </c>
      <c r="C41" s="12" t="n"/>
      <c r="D41" s="13" t="n"/>
      <c r="E41" s="13" t="n"/>
      <c r="F41" s="13" t="n"/>
      <c r="G41" s="298" t="n"/>
    </row>
    <row r="42" spans="1:10">
      <c r="B42" s="6" t="s">
        <v>112</v>
      </c>
      <c r="C42" s="12" t="n"/>
      <c r="D42" s="13" t="n">
        <v>507695</v>
      </c>
      <c r="E42" s="13" t="n"/>
      <c r="F42" s="13" t="n"/>
      <c r="G42" s="298" t="n"/>
    </row>
    <row r="43" spans="1:10">
      <c r="B43" s="6" t="s">
        <v>114</v>
      </c>
      <c r="C43" s="12" t="n">
        <v>38838</v>
      </c>
      <c r="D43" s="13" t="n">
        <v>562524</v>
      </c>
      <c r="E43" s="13">
        <f>D43-D42</f>
        <v/>
      </c>
      <c r="F43" s="297" t="n">
        <v>1.466827</v>
      </c>
      <c r="G43" s="298">
        <f>(E43/1000)*1.466827</f>
        <v/>
      </c>
      <c r="I43" s="18" t="n"/>
    </row>
    <row r="44" spans="1:10">
      <c r="B44" s="6" t="s">
        <v>116</v>
      </c>
      <c r="C44" s="12" t="n">
        <v>38869</v>
      </c>
      <c r="D44" s="13" t="n">
        <v>622435</v>
      </c>
      <c r="E44" s="13">
        <f>D44-D43</f>
        <v/>
      </c>
      <c r="F44" s="297" t="n">
        <v>1.4599935478</v>
      </c>
      <c r="G44" s="298">
        <f>(E44/1000)*1.4599935478</f>
        <v/>
      </c>
    </row>
    <row r="45" spans="1:10">
      <c r="B45" s="6" t="s">
        <v>117</v>
      </c>
      <c r="C45" s="12" t="n">
        <v>38896</v>
      </c>
      <c r="D45" s="13" t="n">
        <v>622804</v>
      </c>
      <c r="E45" s="13">
        <f>D45-D44</f>
        <v/>
      </c>
      <c r="F45" s="297" t="n">
        <v>1.4480832864</v>
      </c>
      <c r="G45" s="298">
        <f>(E45/1000)*1.4480832864</f>
        <v/>
      </c>
    </row>
    <row r="46" spans="1:10">
      <c r="B46" s="6" t="s">
        <v>118</v>
      </c>
      <c r="C46" s="12" t="n">
        <v>38925</v>
      </c>
      <c r="D46" s="13" t="n">
        <v>623572</v>
      </c>
      <c r="E46" s="13" t="n">
        <v>768</v>
      </c>
      <c r="F46" s="297" t="n">
        <v>1.43966296</v>
      </c>
      <c r="G46" s="298">
        <f>(E46/1000)*1.43966296</f>
        <v/>
      </c>
    </row>
    <row r="47" spans="1:10">
      <c r="B47" s="6" t="s">
        <v>119</v>
      </c>
      <c r="C47" s="12" t="n">
        <v>38965</v>
      </c>
      <c r="D47" s="13" t="n">
        <v>641622</v>
      </c>
      <c r="E47" s="13">
        <f>D47-D46</f>
        <v/>
      </c>
      <c r="F47" s="297" t="n">
        <v>1.4295233641</v>
      </c>
      <c r="G47" s="298">
        <f>(E47/1000)*1.4295233641</f>
        <v/>
      </c>
    </row>
    <row r="48" spans="1:10">
      <c r="B48" s="6" t="s">
        <v>120</v>
      </c>
      <c r="C48" s="12" t="n">
        <v>38993</v>
      </c>
      <c r="D48" s="13" t="n">
        <v>690560</v>
      </c>
      <c r="E48" s="13">
        <f>D48-D47</f>
        <v/>
      </c>
      <c r="F48" s="297" t="n">
        <v>1.424126085998608</v>
      </c>
      <c r="G48" s="298">
        <f>E48/1000*F48</f>
        <v/>
      </c>
    </row>
    <row r="49" spans="1:10">
      <c r="B49" s="6" t="s">
        <v>121</v>
      </c>
      <c r="C49" s="12" t="n">
        <v>39035</v>
      </c>
      <c r="D49" s="13" t="n">
        <v>770511</v>
      </c>
      <c r="E49" s="13">
        <f>D49-D48</f>
        <v/>
      </c>
      <c r="F49" s="297" t="n">
        <v>1.4306</v>
      </c>
      <c r="G49" s="298">
        <f>E49/1000*F49</f>
        <v/>
      </c>
    </row>
    <row r="50" spans="1:10">
      <c r="B50" s="6" t="s">
        <v>122</v>
      </c>
      <c r="C50" s="12" t="n">
        <v>39056</v>
      </c>
      <c r="D50" s="13" t="n">
        <v>814266</v>
      </c>
      <c r="E50" s="13">
        <f>D50-D49</f>
        <v/>
      </c>
      <c r="F50" s="297" t="n">
        <v>1.434</v>
      </c>
      <c r="G50" s="298">
        <f>E50/1000*F50</f>
        <v/>
      </c>
    </row>
    <row r="51" spans="1:10">
      <c r="B51" s="6" t="s">
        <v>123</v>
      </c>
      <c r="C51" s="12" t="n">
        <v>38725</v>
      </c>
      <c r="D51" s="59" t="n">
        <v>844833</v>
      </c>
      <c r="E51" s="13">
        <f>D51-D50</f>
        <v/>
      </c>
      <c r="F51" s="297" t="n">
        <v>1.459097532447671</v>
      </c>
      <c r="G51" s="298">
        <f>E51/1000*F51</f>
        <v/>
      </c>
    </row>
    <row r="52" spans="1:10">
      <c r="A52" s="240" t="s">
        <v>137</v>
      </c>
      <c r="B52" s="6" t="s">
        <v>109</v>
      </c>
      <c r="C52" s="12" t="n"/>
      <c r="D52" s="13" t="n"/>
      <c r="E52" s="13" t="n"/>
      <c r="F52" s="13" t="n"/>
      <c r="G52" s="298" t="n"/>
    </row>
    <row r="53" spans="1:10">
      <c r="B53" s="6" t="s">
        <v>110</v>
      </c>
      <c r="C53" s="12" t="n"/>
      <c r="D53" s="13" t="n"/>
      <c r="E53" s="13" t="n"/>
      <c r="F53" s="13" t="n"/>
      <c r="G53" s="298" t="n"/>
    </row>
    <row r="54" spans="1:10">
      <c r="B54" s="6" t="s">
        <v>112</v>
      </c>
      <c r="C54" s="12" t="n"/>
      <c r="D54" s="13" t="n"/>
      <c r="E54" s="13" t="n"/>
      <c r="F54" s="13" t="n"/>
      <c r="G54" s="298" t="n"/>
    </row>
    <row r="55" spans="1:10">
      <c r="B55" s="6" t="s">
        <v>114</v>
      </c>
      <c r="C55" s="12" t="n">
        <v>38838</v>
      </c>
      <c r="D55" s="13" t="n"/>
      <c r="E55" s="13" t="n">
        <v>43768</v>
      </c>
      <c r="F55" s="297" t="n">
        <v>1.466827</v>
      </c>
      <c r="G55" s="298">
        <f>(E55/1000)*1.466827</f>
        <v/>
      </c>
    </row>
    <row r="56" spans="1:10">
      <c r="B56" s="6" t="s">
        <v>116</v>
      </c>
      <c r="C56" s="12" t="n">
        <v>38869</v>
      </c>
      <c r="D56" s="13" t="n"/>
      <c r="E56" s="13" t="n">
        <v>37168</v>
      </c>
      <c r="F56" s="297" t="n">
        <v>1.4599935478</v>
      </c>
      <c r="G56" s="298">
        <f>(E56/1000)*1.4599935478</f>
        <v/>
      </c>
    </row>
    <row r="57" spans="1:10">
      <c r="B57" s="6" t="s">
        <v>117</v>
      </c>
      <c r="C57" s="12" t="n">
        <v>38896</v>
      </c>
      <c r="D57" s="42" t="n"/>
      <c r="E57" s="13" t="n">
        <v>243</v>
      </c>
      <c r="F57" s="297" t="n">
        <v>1.4480832864</v>
      </c>
      <c r="G57" s="298">
        <f>(E57/1000)*1.4480832864</f>
        <v/>
      </c>
    </row>
    <row r="58" spans="1:10">
      <c r="B58" s="6" t="s">
        <v>118</v>
      </c>
      <c r="C58" s="12" t="n">
        <v>38925</v>
      </c>
      <c r="D58" s="13" t="n"/>
      <c r="E58" s="13" t="n">
        <v>5728</v>
      </c>
      <c r="F58" s="297" t="n">
        <v>1.43966296</v>
      </c>
      <c r="G58" s="298">
        <f>(E58/1000)*1.43966296</f>
        <v/>
      </c>
    </row>
    <row r="59" spans="1:10">
      <c r="B59" s="6" t="s">
        <v>119</v>
      </c>
      <c r="C59" s="12" t="n">
        <v>38965</v>
      </c>
      <c r="D59" s="13" t="n"/>
      <c r="E59" s="13" t="n">
        <v>66804</v>
      </c>
      <c r="F59" s="297" t="n">
        <v>1.4295233641</v>
      </c>
      <c r="G59" s="298">
        <f>(E59/1000)*1.4295233641</f>
        <v/>
      </c>
    </row>
    <row r="60" spans="1:10">
      <c r="B60" s="6" t="s">
        <v>120</v>
      </c>
      <c r="C60" s="12" t="n">
        <v>38993</v>
      </c>
      <c r="D60" s="13" t="n"/>
      <c r="E60" s="13">
        <f>2*(E36+E48+E108)/5</f>
        <v/>
      </c>
      <c r="F60" s="297" t="n">
        <v>1.424126085998608</v>
      </c>
      <c r="G60" s="298">
        <f>E60/1000*F60</f>
        <v/>
      </c>
    </row>
    <row r="61" spans="1:10">
      <c r="B61" s="6" t="s">
        <v>121</v>
      </c>
      <c r="C61" s="12" t="n">
        <v>39035</v>
      </c>
      <c r="D61" s="13" t="n"/>
      <c r="E61" s="13">
        <f>2*(E37+E49+E109)/5</f>
        <v/>
      </c>
      <c r="F61" s="297" t="n">
        <v>1.4306</v>
      </c>
      <c r="G61" s="298">
        <f>E61/1000*F61</f>
        <v/>
      </c>
    </row>
    <row r="62" spans="1:10">
      <c r="B62" s="6" t="s">
        <v>122</v>
      </c>
      <c r="C62" s="12" t="n">
        <v>39056</v>
      </c>
      <c r="D62" s="13" t="n"/>
      <c r="E62" s="13">
        <f>2*(E38+E50+E110)/5</f>
        <v/>
      </c>
      <c r="F62" s="297" t="n">
        <v>1.434</v>
      </c>
      <c r="G62" s="298">
        <f>E62/1000*F62</f>
        <v/>
      </c>
    </row>
    <row r="63" spans="1:10">
      <c r="B63" s="6" t="s">
        <v>123</v>
      </c>
      <c r="C63" s="12" t="n">
        <v>38725</v>
      </c>
      <c r="D63" s="13" t="n"/>
      <c r="E63" s="13">
        <f>2*(E39+E51+E111)/5</f>
        <v/>
      </c>
      <c r="F63" s="297" t="n">
        <v>1.459097532447671</v>
      </c>
      <c r="G63" s="298">
        <f>E63/1000*F63</f>
        <v/>
      </c>
    </row>
    <row r="64" spans="1:10">
      <c r="A64" s="240" t="s">
        <v>138</v>
      </c>
      <c r="B64" s="6" t="s">
        <v>109</v>
      </c>
      <c r="C64" s="12" t="n"/>
      <c r="D64" s="13" t="n"/>
      <c r="E64" s="13" t="n"/>
      <c r="F64" s="13" t="n"/>
      <c r="G64" s="298" t="n"/>
    </row>
    <row r="65" spans="1:10">
      <c r="B65" s="6" t="s">
        <v>110</v>
      </c>
      <c r="C65" s="12" t="n"/>
      <c r="D65" s="13" t="n"/>
      <c r="E65" s="13" t="n"/>
      <c r="F65" s="13" t="n"/>
      <c r="G65" s="298" t="n"/>
    </row>
    <row r="66" spans="1:10">
      <c r="B66" s="6" t="s">
        <v>112</v>
      </c>
      <c r="C66" s="12" t="n"/>
      <c r="D66" s="13" t="n"/>
      <c r="E66" s="13" t="n"/>
      <c r="F66" s="13" t="n"/>
      <c r="G66" s="298" t="n"/>
    </row>
    <row r="67" spans="1:10">
      <c r="B67" s="6" t="s">
        <v>114</v>
      </c>
      <c r="C67" s="12" t="n">
        <v>38838</v>
      </c>
      <c r="D67" s="13" t="n"/>
      <c r="E67" s="13" t="n">
        <v>43768</v>
      </c>
      <c r="F67" s="297" t="n">
        <v>1.466827</v>
      </c>
      <c r="G67" s="298">
        <f>(E67/1000)*1.466827</f>
        <v/>
      </c>
    </row>
    <row r="68" spans="1:10">
      <c r="B68" s="6" t="s">
        <v>116</v>
      </c>
      <c r="C68" s="12" t="n">
        <v>38869</v>
      </c>
      <c r="D68" s="13" t="n"/>
      <c r="E68" s="13" t="n">
        <v>37168</v>
      </c>
      <c r="F68" s="297" t="n">
        <v>1.4599935478</v>
      </c>
      <c r="G68" s="298">
        <f>(E68/1000)*1.4599935478</f>
        <v/>
      </c>
    </row>
    <row r="69" spans="1:10">
      <c r="B69" s="6" t="s">
        <v>117</v>
      </c>
      <c r="C69" s="12" t="n">
        <v>38896</v>
      </c>
      <c r="D69" s="13" t="n"/>
      <c r="E69" s="13" t="n">
        <v>243</v>
      </c>
      <c r="F69" s="297" t="n">
        <v>1.4480832864</v>
      </c>
      <c r="G69" s="298">
        <f>(E69/1000)*1.4480832864</f>
        <v/>
      </c>
    </row>
    <row r="70" spans="1:10">
      <c r="B70" s="6" t="s">
        <v>118</v>
      </c>
      <c r="C70" s="12" t="n">
        <v>38925</v>
      </c>
      <c r="D70" s="13" t="n"/>
      <c r="E70" s="13" t="n">
        <v>5728</v>
      </c>
      <c r="F70" s="297" t="n">
        <v>1.43966296</v>
      </c>
      <c r="G70" s="298">
        <f>(E70/1000)*1.43966296</f>
        <v/>
      </c>
    </row>
    <row r="71" spans="1:10">
      <c r="B71" s="6" t="s">
        <v>119</v>
      </c>
      <c r="C71" s="12" t="n">
        <v>38965</v>
      </c>
      <c r="D71" s="13" t="n"/>
      <c r="E71" s="13" t="n">
        <v>66804</v>
      </c>
      <c r="F71" s="297" t="n">
        <v>1.4295233641</v>
      </c>
      <c r="G71" s="298">
        <f>(E71/1000)*1.4295233641</f>
        <v/>
      </c>
    </row>
    <row r="72" spans="1:10">
      <c r="B72" s="6" t="s">
        <v>120</v>
      </c>
      <c r="C72" s="12" t="n">
        <v>38993</v>
      </c>
      <c r="D72" s="13" t="n"/>
      <c r="E72" s="13">
        <f>2*(E36+E48+E108)/5</f>
        <v/>
      </c>
      <c r="F72" s="297" t="n">
        <v>1.424126085998608</v>
      </c>
      <c r="G72" s="298">
        <f>E72/1000*F72</f>
        <v/>
      </c>
    </row>
    <row r="73" spans="1:10">
      <c r="B73" s="6" t="s">
        <v>121</v>
      </c>
      <c r="C73" s="12" t="n">
        <v>39035</v>
      </c>
      <c r="D73" s="13" t="n"/>
      <c r="E73" s="13">
        <f>2*(E37+E49+E109)/5</f>
        <v/>
      </c>
      <c r="F73" s="297" t="n">
        <v>1.4306</v>
      </c>
      <c r="G73" s="298">
        <f>E73/1000*F73</f>
        <v/>
      </c>
    </row>
    <row r="74" spans="1:10">
      <c r="B74" s="6" t="s">
        <v>122</v>
      </c>
      <c r="C74" s="12" t="n">
        <v>39056</v>
      </c>
      <c r="D74" s="13" t="n"/>
      <c r="E74" s="13">
        <f>2*(E38+E50+E110)/5</f>
        <v/>
      </c>
      <c r="F74" s="297" t="n">
        <v>1.434</v>
      </c>
      <c r="G74" s="298">
        <f>E74/1000*F74</f>
        <v/>
      </c>
    </row>
    <row r="75" spans="1:10">
      <c r="B75" s="6" t="s">
        <v>123</v>
      </c>
      <c r="C75" s="12" t="n">
        <v>38725</v>
      </c>
      <c r="D75" s="13" t="n"/>
      <c r="E75" s="13">
        <f>2*(E39+E51+E111)/5</f>
        <v/>
      </c>
      <c r="F75" s="297" t="n">
        <v>1.459097532447671</v>
      </c>
      <c r="G75" s="298">
        <f>E75/1000*F75</f>
        <v/>
      </c>
    </row>
    <row r="76" spans="1:10">
      <c r="A76" s="240" t="s">
        <v>139</v>
      </c>
      <c r="B76" s="6" t="s">
        <v>109</v>
      </c>
      <c r="C76" s="12" t="n"/>
      <c r="D76" s="13" t="n"/>
      <c r="E76" s="13" t="n"/>
      <c r="F76" s="13" t="n"/>
      <c r="G76" s="298" t="n"/>
    </row>
    <row r="77" spans="1:10">
      <c r="B77" s="6" t="s">
        <v>110</v>
      </c>
      <c r="C77" s="12" t="n"/>
      <c r="D77" s="13" t="n"/>
      <c r="E77" s="13" t="n"/>
      <c r="F77" s="13" t="n"/>
      <c r="G77" s="298" t="n"/>
    </row>
    <row r="78" spans="1:10">
      <c r="B78" s="6" t="s">
        <v>112</v>
      </c>
      <c r="C78" s="12" t="n"/>
      <c r="D78" s="13" t="n"/>
      <c r="E78" s="13" t="n"/>
      <c r="F78" s="13" t="n"/>
      <c r="G78" s="298" t="n"/>
    </row>
    <row r="79" spans="1:10">
      <c r="B79" s="6" t="s">
        <v>114</v>
      </c>
      <c r="C79" s="12" t="n">
        <v>38838</v>
      </c>
      <c r="D79" s="13" t="n"/>
      <c r="E79" s="13" t="n">
        <v>43768</v>
      </c>
      <c r="F79" s="297" t="n">
        <v>1.466827</v>
      </c>
      <c r="G79" s="298">
        <f>(E79/1000)*1.466827</f>
        <v/>
      </c>
    </row>
    <row r="80" spans="1:10">
      <c r="B80" s="6" t="s">
        <v>116</v>
      </c>
      <c r="C80" s="12" t="n">
        <v>38869</v>
      </c>
      <c r="D80" s="13" t="n"/>
      <c r="E80" s="13" t="n">
        <v>37168</v>
      </c>
      <c r="F80" s="297" t="n">
        <v>1.4599935478</v>
      </c>
      <c r="G80" s="298">
        <f>(E80/1000)*1.4599935478</f>
        <v/>
      </c>
    </row>
    <row r="81" spans="1:10">
      <c r="B81" s="6" t="s">
        <v>117</v>
      </c>
      <c r="C81" s="12" t="n">
        <v>38896</v>
      </c>
      <c r="D81" s="13" t="n"/>
      <c r="E81" s="13" t="n">
        <v>243</v>
      </c>
      <c r="F81" s="297" t="n">
        <v>1.4480832864</v>
      </c>
      <c r="G81" s="298">
        <f>(E81/1000)*1.4480832864</f>
        <v/>
      </c>
    </row>
    <row r="82" spans="1:10">
      <c r="B82" s="6" t="s">
        <v>118</v>
      </c>
      <c r="C82" s="12" t="n">
        <v>38925</v>
      </c>
      <c r="D82" s="13" t="n"/>
      <c r="E82" s="13" t="n">
        <v>5728</v>
      </c>
      <c r="F82" s="297" t="n">
        <v>1.43966296</v>
      </c>
      <c r="G82" s="298">
        <f>(E82/1000)*1.43966296</f>
        <v/>
      </c>
    </row>
    <row r="83" spans="1:10">
      <c r="B83" s="6" t="s">
        <v>119</v>
      </c>
      <c r="C83" s="12" t="n">
        <v>38965</v>
      </c>
      <c r="D83" s="13" t="n"/>
      <c r="E83" s="13" t="n">
        <v>66804</v>
      </c>
      <c r="F83" s="297" t="n">
        <v>1.4295233641</v>
      </c>
      <c r="G83" s="298">
        <f>(E83/1000)*1.4295233641</f>
        <v/>
      </c>
    </row>
    <row r="84" spans="1:10">
      <c r="B84" s="6" t="s">
        <v>120</v>
      </c>
      <c r="C84" s="12" t="n">
        <v>38993</v>
      </c>
      <c r="D84" s="13" t="n"/>
      <c r="E84" s="13">
        <f>(E36+E48+E108)/5</f>
        <v/>
      </c>
      <c r="F84" s="297" t="n">
        <v>1.424126085998608</v>
      </c>
      <c r="G84" s="298">
        <f>E84/1000*F84</f>
        <v/>
      </c>
    </row>
    <row r="85" spans="1:10">
      <c r="B85" s="6" t="s">
        <v>121</v>
      </c>
      <c r="C85" s="12" t="n">
        <v>39035</v>
      </c>
      <c r="D85" s="13" t="n"/>
      <c r="E85" s="13">
        <f>(E37+E49+E109)/5</f>
        <v/>
      </c>
      <c r="F85" s="297" t="n">
        <v>1.4306</v>
      </c>
      <c r="G85" s="298">
        <f>E85/1000*F85</f>
        <v/>
      </c>
    </row>
    <row r="86" spans="1:10">
      <c r="B86" s="6" t="s">
        <v>122</v>
      </c>
      <c r="C86" s="12" t="n">
        <v>39056</v>
      </c>
      <c r="D86" s="13" t="n"/>
      <c r="E86" s="13">
        <f>(E38+E50+E110)/5</f>
        <v/>
      </c>
      <c r="F86" s="297" t="n">
        <v>1.434</v>
      </c>
      <c r="G86" s="298">
        <f>E86/1000*F86</f>
        <v/>
      </c>
    </row>
    <row r="87" spans="1:10">
      <c r="B87" s="6" t="s">
        <v>123</v>
      </c>
      <c r="C87" s="12" t="n">
        <v>38725</v>
      </c>
      <c r="D87" s="13" t="n"/>
      <c r="E87" s="13">
        <f>(E39+E51+E111)/5</f>
        <v/>
      </c>
      <c r="F87" s="297" t="n">
        <v>1.459097532447671</v>
      </c>
      <c r="G87" s="298">
        <f>E87/1000*F87</f>
        <v/>
      </c>
    </row>
    <row r="88" spans="1:10">
      <c r="A88" s="240" t="s">
        <v>140</v>
      </c>
      <c r="B88" s="6" t="s">
        <v>109</v>
      </c>
      <c r="C88" s="12" t="n"/>
      <c r="D88" s="13" t="n"/>
      <c r="E88" s="13" t="n"/>
      <c r="F88" s="13" t="n"/>
      <c r="G88" s="298" t="n"/>
    </row>
    <row r="89" spans="1:10">
      <c r="B89" s="6" t="s">
        <v>110</v>
      </c>
      <c r="C89" s="12" t="n"/>
      <c r="D89" s="13" t="n"/>
      <c r="E89" s="13" t="n"/>
      <c r="F89" s="13" t="n"/>
      <c r="G89" s="298" t="n"/>
    </row>
    <row r="90" spans="1:10">
      <c r="B90" s="6" t="s">
        <v>112</v>
      </c>
      <c r="C90" s="12" t="n"/>
      <c r="D90" s="4" t="n"/>
      <c r="E90" s="4" t="n"/>
      <c r="F90" s="4" t="n"/>
      <c r="G90" s="298" t="n"/>
    </row>
    <row r="91" spans="1:10">
      <c r="B91" s="6" t="s">
        <v>114</v>
      </c>
      <c r="C91" s="12" t="n">
        <v>38838</v>
      </c>
      <c r="D91" s="13" t="n"/>
      <c r="E91" s="13" t="n">
        <v>43768</v>
      </c>
      <c r="F91" s="297" t="n">
        <v>1.466827</v>
      </c>
      <c r="G91" s="298">
        <f>(E91/1000)*1.466827</f>
        <v/>
      </c>
    </row>
    <row r="92" spans="1:10">
      <c r="B92" s="6" t="s">
        <v>116</v>
      </c>
      <c r="C92" s="12" t="n">
        <v>38869</v>
      </c>
      <c r="D92" s="13" t="n"/>
      <c r="E92" s="13" t="n">
        <v>37168</v>
      </c>
      <c r="F92" s="297" t="n">
        <v>1.4599935478</v>
      </c>
      <c r="G92" s="298">
        <f>(E92/1000)*1.4599935478</f>
        <v/>
      </c>
    </row>
    <row r="93" spans="1:10">
      <c r="B93" s="6" t="s">
        <v>117</v>
      </c>
      <c r="C93" s="12" t="n">
        <v>38896</v>
      </c>
      <c r="D93" s="13" t="n"/>
      <c r="E93" s="13" t="n">
        <v>243</v>
      </c>
      <c r="F93" s="297" t="n">
        <v>1.4480832864</v>
      </c>
      <c r="G93" s="298">
        <f>(E93/1000)*1.4480832864</f>
        <v/>
      </c>
    </row>
    <row r="94" spans="1:10">
      <c r="B94" s="6" t="s">
        <v>118</v>
      </c>
      <c r="C94" s="12" t="n">
        <v>38925</v>
      </c>
      <c r="D94" s="13" t="n"/>
      <c r="E94" s="13" t="n">
        <v>5728</v>
      </c>
      <c r="F94" s="297" t="n">
        <v>1.43966296</v>
      </c>
      <c r="G94" s="298">
        <f>(E94/1000)*1.43966296</f>
        <v/>
      </c>
    </row>
    <row r="95" spans="1:10">
      <c r="B95" s="6" t="s">
        <v>119</v>
      </c>
      <c r="C95" s="12" t="n">
        <v>38965</v>
      </c>
      <c r="D95" s="13" t="n"/>
      <c r="E95" s="13" t="n">
        <v>66804</v>
      </c>
      <c r="F95" s="297" t="n">
        <v>1.4295233641</v>
      </c>
      <c r="G95" s="298">
        <f>(E95/1000)*1.4295233641</f>
        <v/>
      </c>
    </row>
    <row r="96" spans="1:10">
      <c r="B96" s="6" t="s">
        <v>120</v>
      </c>
      <c r="C96" s="12" t="n">
        <v>38993</v>
      </c>
      <c r="D96" s="13" t="n"/>
      <c r="E96" s="13">
        <f>2*(E36+E48+E108)/5</f>
        <v/>
      </c>
      <c r="F96" s="297" t="n">
        <v>1.424126085998608</v>
      </c>
      <c r="G96" s="298">
        <f>E96/1000*F96</f>
        <v/>
      </c>
    </row>
    <row r="97" spans="1:10">
      <c r="B97" s="6" t="s">
        <v>121</v>
      </c>
      <c r="C97" s="12" t="n">
        <v>39035</v>
      </c>
      <c r="D97" s="13" t="n"/>
      <c r="E97" s="13">
        <f>2*(E37+E49+E109)/5</f>
        <v/>
      </c>
      <c r="F97" s="297" t="n">
        <v>1.4306</v>
      </c>
      <c r="G97" s="298">
        <f>E97/1000*F97</f>
        <v/>
      </c>
    </row>
    <row r="98" spans="1:10">
      <c r="B98" s="6" t="s">
        <v>122</v>
      </c>
      <c r="C98" s="12" t="n">
        <v>39056</v>
      </c>
      <c r="D98" s="13" t="n"/>
      <c r="E98" s="13">
        <f>2*(E38+E50+E110)/5</f>
        <v/>
      </c>
      <c r="F98" s="297" t="n">
        <v>1.434</v>
      </c>
      <c r="G98" s="298">
        <f>E98/1000*F98</f>
        <v/>
      </c>
    </row>
    <row r="99" spans="1:10">
      <c r="B99" s="6" t="s">
        <v>123</v>
      </c>
      <c r="C99" s="12" t="n">
        <v>38725</v>
      </c>
      <c r="D99" s="13" t="n"/>
      <c r="E99" s="13">
        <f>2*(E39+E51+E111)/5</f>
        <v/>
      </c>
      <c r="F99" s="297" t="n">
        <v>1.459097532447671</v>
      </c>
      <c r="G99" s="298">
        <f>E99/1000*F99</f>
        <v/>
      </c>
    </row>
    <row r="100" spans="1:10">
      <c r="A100" s="240" t="s">
        <v>141</v>
      </c>
      <c r="B100" s="6" t="s">
        <v>109</v>
      </c>
      <c r="C100" s="12" t="n"/>
      <c r="D100" s="13" t="n"/>
      <c r="E100" s="13" t="n"/>
      <c r="F100" s="13" t="n"/>
      <c r="G100" s="298" t="n"/>
    </row>
    <row r="101" spans="1:10">
      <c r="B101" s="6" t="s">
        <v>110</v>
      </c>
      <c r="C101" s="12" t="n"/>
      <c r="D101" s="13" t="n"/>
      <c r="E101" s="13" t="n"/>
      <c r="F101" s="13" t="n"/>
      <c r="G101" s="298" t="n"/>
    </row>
    <row r="102" spans="1:10">
      <c r="B102" s="6" t="s">
        <v>112</v>
      </c>
      <c r="C102" s="12" t="n"/>
      <c r="D102" s="13" t="n">
        <v>112633</v>
      </c>
      <c r="E102" s="13" t="n"/>
      <c r="F102" s="13" t="n"/>
      <c r="G102" s="298" t="n"/>
    </row>
    <row r="103" spans="1:10">
      <c r="B103" s="6" t="s">
        <v>114</v>
      </c>
      <c r="C103" s="12" t="n">
        <v>38838</v>
      </c>
      <c r="D103" s="13" t="n">
        <v>144880</v>
      </c>
      <c r="E103" s="13">
        <f>D103-D102</f>
        <v/>
      </c>
      <c r="F103" s="297" t="n">
        <v>1.466827</v>
      </c>
      <c r="G103" s="298">
        <f>(E103/1000)*1.466827</f>
        <v/>
      </c>
    </row>
    <row r="104" spans="1:10">
      <c r="B104" s="6" t="s">
        <v>116</v>
      </c>
      <c r="C104" s="12" t="n">
        <v>38869</v>
      </c>
      <c r="D104" s="13" t="n">
        <v>166851</v>
      </c>
      <c r="E104" s="13">
        <f>D104-D103</f>
        <v/>
      </c>
      <c r="F104" s="297" t="n">
        <v>1.4599935478</v>
      </c>
      <c r="G104" s="298">
        <f>(E104/1000)*1.4599935478</f>
        <v/>
      </c>
    </row>
    <row r="105" spans="1:10">
      <c r="B105" s="6" t="s">
        <v>117</v>
      </c>
      <c r="C105" s="12" t="n">
        <v>38896</v>
      </c>
      <c r="D105" s="13" t="n">
        <v>166924</v>
      </c>
      <c r="E105" s="13">
        <f>D105-D104</f>
        <v/>
      </c>
      <c r="F105" s="297" t="n">
        <v>1.4480832864</v>
      </c>
      <c r="G105" s="298">
        <f>(E105/1000)*1.4480832864</f>
        <v/>
      </c>
    </row>
    <row r="106" spans="1:10">
      <c r="B106" s="6" t="s">
        <v>118</v>
      </c>
      <c r="C106" s="12" t="n">
        <v>38925</v>
      </c>
      <c r="D106" s="20" t="n">
        <v>16170</v>
      </c>
      <c r="E106" s="13" t="n">
        <v>16170</v>
      </c>
      <c r="F106" s="297" t="n">
        <v>1.43966296</v>
      </c>
      <c r="G106" s="298">
        <f>(E106/1000)*1.43966296</f>
        <v/>
      </c>
    </row>
    <row r="107" spans="1:10">
      <c r="B107" s="6" t="s">
        <v>119</v>
      </c>
      <c r="C107" s="12" t="n">
        <v>38965</v>
      </c>
      <c r="D107" s="13" t="n">
        <v>175583</v>
      </c>
      <c r="E107" s="13">
        <f>D107-D106</f>
        <v/>
      </c>
      <c r="F107" s="297" t="n">
        <v>1.4295233641</v>
      </c>
      <c r="G107" s="298">
        <f>(E107/1000)*1.4295233641</f>
        <v/>
      </c>
    </row>
    <row r="108" spans="1:10">
      <c r="B108" s="6" t="s">
        <v>120</v>
      </c>
      <c r="C108" s="12" t="n">
        <v>38993</v>
      </c>
      <c r="D108" s="13" t="n">
        <v>201419</v>
      </c>
      <c r="E108" s="13">
        <f>D108-D107</f>
        <v/>
      </c>
      <c r="F108" s="297" t="n">
        <v>1.424126085998608</v>
      </c>
      <c r="G108" s="298">
        <f>(E108/1000)*1.4295233641</f>
        <v/>
      </c>
    </row>
    <row r="109" spans="1:10">
      <c r="B109" s="6" t="s">
        <v>121</v>
      </c>
      <c r="C109" s="12" t="n">
        <v>39035</v>
      </c>
      <c r="D109" s="13" t="n">
        <v>239767</v>
      </c>
      <c r="E109" s="13">
        <f>D109-D108</f>
        <v/>
      </c>
      <c r="F109" s="297" t="n">
        <v>1.4306</v>
      </c>
      <c r="G109" s="298">
        <f>(E109/1000)*1.4295233641</f>
        <v/>
      </c>
    </row>
    <row r="110" spans="1:10">
      <c r="B110" s="6" t="s">
        <v>122</v>
      </c>
      <c r="C110" s="12" t="n">
        <v>39056</v>
      </c>
      <c r="D110" s="13" t="n">
        <v>255060</v>
      </c>
      <c r="E110" s="13">
        <f>D110-D109</f>
        <v/>
      </c>
      <c r="F110" s="297" t="n">
        <v>1.434</v>
      </c>
      <c r="G110" s="298">
        <f>(E110/1000)*1.4295233641</f>
        <v/>
      </c>
    </row>
    <row r="111" spans="1:10">
      <c r="B111" s="6" t="s">
        <v>123</v>
      </c>
      <c r="C111" s="12" t="n">
        <v>38725</v>
      </c>
      <c r="D111" s="59" t="n">
        <v>265481</v>
      </c>
      <c r="E111" s="13">
        <f>D111-D110</f>
        <v/>
      </c>
      <c r="F111" s="297" t="n">
        <v>1.459097532447671</v>
      </c>
      <c r="G111" s="298">
        <f>(E111/1000)*1.4295233641</f>
        <v/>
      </c>
    </row>
    <row r="112" spans="1:10">
      <c r="A112" s="240" t="s">
        <v>142</v>
      </c>
      <c r="B112" s="6" t="s">
        <v>109</v>
      </c>
      <c r="C112" s="12" t="n"/>
      <c r="D112" s="13" t="n"/>
      <c r="E112" s="13" t="n"/>
      <c r="F112" s="13" t="n"/>
      <c r="G112" s="298" t="n"/>
    </row>
    <row r="113" spans="1:10">
      <c r="B113" s="6" t="s">
        <v>110</v>
      </c>
      <c r="C113" s="12" t="n"/>
      <c r="D113" s="13" t="n"/>
      <c r="E113" s="13" t="n"/>
      <c r="F113" s="13" t="n"/>
      <c r="G113" s="298" t="n"/>
    </row>
    <row r="114" spans="1:10">
      <c r="B114" s="6" t="s">
        <v>112</v>
      </c>
      <c r="C114" s="12" t="n"/>
      <c r="D114" s="13" t="n"/>
      <c r="E114" s="13" t="n"/>
      <c r="F114" s="13" t="n"/>
      <c r="G114" s="298" t="n"/>
    </row>
    <row r="115" spans="1:10">
      <c r="B115" s="6" t="s">
        <v>114</v>
      </c>
      <c r="C115" s="12" t="n">
        <v>38838</v>
      </c>
      <c r="D115" s="13" t="n"/>
      <c r="E115" s="13" t="n">
        <v>43768</v>
      </c>
      <c r="F115" s="297" t="n">
        <v>1.466827</v>
      </c>
      <c r="G115" s="298">
        <f>(E115/1000)*1.466827</f>
        <v/>
      </c>
    </row>
    <row r="116" spans="1:10">
      <c r="B116" s="6" t="s">
        <v>116</v>
      </c>
      <c r="C116" s="12" t="n">
        <v>38869</v>
      </c>
      <c r="D116" s="13" t="n"/>
      <c r="E116" s="13" t="n">
        <v>37168</v>
      </c>
      <c r="F116" s="297" t="n">
        <v>1.4599935478</v>
      </c>
      <c r="G116" s="298">
        <f>(E116/1000)*1.4599935478</f>
        <v/>
      </c>
    </row>
    <row r="117" spans="1:10">
      <c r="B117" s="6" t="s">
        <v>117</v>
      </c>
      <c r="C117" s="12" t="n">
        <v>38896</v>
      </c>
      <c r="D117" s="13" t="n"/>
      <c r="E117" s="13" t="n">
        <v>243</v>
      </c>
      <c r="F117" s="297" t="n">
        <v>1.4480832864</v>
      </c>
      <c r="G117" s="298">
        <f>(E117/1000)*1.4480832864</f>
        <v/>
      </c>
    </row>
    <row r="118" spans="1:10">
      <c r="B118" s="6" t="s">
        <v>118</v>
      </c>
      <c r="C118" s="12" t="n">
        <v>38925</v>
      </c>
      <c r="D118" s="13" t="n"/>
      <c r="E118" s="13" t="n">
        <v>5728</v>
      </c>
      <c r="F118" s="297" t="n">
        <v>1.43966296</v>
      </c>
      <c r="G118" s="298">
        <f>(E118/1000)*1.43966296</f>
        <v/>
      </c>
    </row>
    <row r="119" spans="1:10">
      <c r="B119" s="6" t="s">
        <v>119</v>
      </c>
      <c r="C119" s="12" t="n">
        <v>38965</v>
      </c>
      <c r="D119" s="13" t="n"/>
      <c r="E119" s="13" t="n">
        <v>66804</v>
      </c>
      <c r="F119" s="297" t="n">
        <v>1.4295233641</v>
      </c>
      <c r="G119" s="298">
        <f>(E119/1000)*1.4295233641</f>
        <v/>
      </c>
    </row>
    <row r="120" spans="1:10">
      <c r="B120" s="6" t="s">
        <v>120</v>
      </c>
      <c r="C120" s="12" t="n">
        <v>38993</v>
      </c>
      <c r="D120" s="13" t="n"/>
      <c r="E120" s="13">
        <f>2*(E36+E48+E108)/5</f>
        <v/>
      </c>
      <c r="F120" s="297" t="n">
        <v>1.424126085998608</v>
      </c>
      <c r="G120" s="298">
        <f>E120/1000*F120</f>
        <v/>
      </c>
    </row>
    <row r="121" spans="1:10">
      <c r="B121" s="6" t="s">
        <v>121</v>
      </c>
      <c r="C121" s="12" t="n">
        <v>39035</v>
      </c>
      <c r="D121" s="13" t="n"/>
      <c r="E121" s="13">
        <f>2*(E37+E49+E109)/5</f>
        <v/>
      </c>
      <c r="F121" s="297" t="n">
        <v>1.4306</v>
      </c>
      <c r="G121" s="298">
        <f>E121/1000*F121</f>
        <v/>
      </c>
    </row>
    <row r="122" spans="1:10">
      <c r="B122" s="6" t="s">
        <v>122</v>
      </c>
      <c r="C122" s="12" t="n">
        <v>39056</v>
      </c>
      <c r="D122" s="13" t="n"/>
      <c r="E122" s="13">
        <f>2*(E38+E50+E110)/5</f>
        <v/>
      </c>
      <c r="F122" s="297" t="n">
        <v>1.434</v>
      </c>
      <c r="G122" s="298">
        <f>E122/1000*F122</f>
        <v/>
      </c>
    </row>
    <row r="123" spans="1:10">
      <c r="B123" s="6" t="s">
        <v>123</v>
      </c>
      <c r="C123" s="12" t="n">
        <v>38725</v>
      </c>
      <c r="D123" s="13" t="n"/>
      <c r="E123" s="13">
        <f>2*(E39+E51+E111)/5</f>
        <v/>
      </c>
      <c r="F123" s="297" t="n">
        <v>1.459097532447671</v>
      </c>
      <c r="G123" s="298">
        <f>E123/1000*F123</f>
        <v/>
      </c>
    </row>
    <row r="124" spans="1:10">
      <c r="A124" s="240" t="s">
        <v>143</v>
      </c>
      <c r="B124" s="6" t="s">
        <v>109</v>
      </c>
      <c r="C124" s="12" t="n"/>
      <c r="D124" s="13" t="n"/>
      <c r="E124" s="13" t="n"/>
      <c r="F124" s="13" t="n"/>
      <c r="G124" s="298" t="n"/>
    </row>
    <row r="125" spans="1:10">
      <c r="B125" s="6" t="s">
        <v>110</v>
      </c>
      <c r="C125" s="12" t="n"/>
      <c r="D125" s="13" t="n"/>
      <c r="E125" s="13" t="n"/>
      <c r="F125" s="13" t="n"/>
      <c r="G125" s="298" t="n"/>
    </row>
    <row r="126" spans="1:10">
      <c r="B126" s="6" t="s">
        <v>112</v>
      </c>
      <c r="C126" s="12" t="n"/>
      <c r="D126" s="13" t="n"/>
      <c r="E126" s="13" t="n"/>
      <c r="F126" s="13" t="n"/>
      <c r="G126" s="298" t="n"/>
    </row>
    <row r="127" spans="1:10">
      <c r="B127" s="6" t="s">
        <v>114</v>
      </c>
      <c r="C127" s="12" t="n">
        <v>38838</v>
      </c>
      <c r="D127" s="13" t="n"/>
      <c r="E127" s="13" t="n">
        <v>43768</v>
      </c>
      <c r="F127" s="297" t="n">
        <v>1.466827</v>
      </c>
      <c r="G127" s="298">
        <f>(E127/1000)*1.466827</f>
        <v/>
      </c>
    </row>
    <row r="128" spans="1:10">
      <c r="B128" s="6" t="s">
        <v>116</v>
      </c>
      <c r="C128" s="12" t="n">
        <v>38869</v>
      </c>
      <c r="D128" s="13" t="n"/>
      <c r="E128" s="13" t="n">
        <v>37168</v>
      </c>
      <c r="F128" s="297" t="n">
        <v>1.4599935478</v>
      </c>
      <c r="G128" s="298">
        <f>(E128/1000)*1.4599935478</f>
        <v/>
      </c>
    </row>
    <row r="129" spans="1:10">
      <c r="B129" s="6" t="s">
        <v>117</v>
      </c>
      <c r="C129" s="12" t="n">
        <v>38896</v>
      </c>
      <c r="D129" s="13" t="n"/>
      <c r="E129" s="13" t="n">
        <v>243</v>
      </c>
      <c r="F129" s="297" t="n">
        <v>1.4480832864</v>
      </c>
      <c r="G129" s="298">
        <f>(E129/1000)*1.4480832864</f>
        <v/>
      </c>
    </row>
    <row r="130" spans="1:10">
      <c r="B130" s="6" t="s">
        <v>118</v>
      </c>
      <c r="C130" s="12" t="n">
        <v>38925</v>
      </c>
      <c r="D130" s="13" t="n"/>
      <c r="E130" s="13" t="n">
        <v>5728</v>
      </c>
      <c r="F130" s="297" t="n">
        <v>1.43966296</v>
      </c>
      <c r="G130" s="298">
        <f>(E130/1000)*1.43966296</f>
        <v/>
      </c>
    </row>
    <row r="131" spans="1:10">
      <c r="B131" s="6" t="s">
        <v>119</v>
      </c>
      <c r="C131" s="12" t="n">
        <v>38965</v>
      </c>
      <c r="D131" s="13" t="n"/>
      <c r="E131" s="13" t="n">
        <v>66804</v>
      </c>
      <c r="F131" s="297" t="n">
        <v>1.4295233641</v>
      </c>
      <c r="G131" s="298">
        <f>(E131/1000)*1.4295233641</f>
        <v/>
      </c>
    </row>
    <row r="132" spans="1:10">
      <c r="B132" s="6" t="s">
        <v>120</v>
      </c>
      <c r="C132" s="12" t="n">
        <v>38993</v>
      </c>
      <c r="D132" s="13" t="n"/>
      <c r="E132" s="13">
        <f>2*(E36+E48+E108)/5</f>
        <v/>
      </c>
      <c r="F132" s="297" t="n">
        <v>1.424126085998608</v>
      </c>
      <c r="G132" s="298">
        <f>E132/1000*F132</f>
        <v/>
      </c>
    </row>
    <row r="133" spans="1:10">
      <c r="B133" s="6" t="s">
        <v>121</v>
      </c>
      <c r="C133" s="12" t="n">
        <v>39035</v>
      </c>
      <c r="D133" s="13" t="n"/>
      <c r="E133" s="13">
        <f>2*(E37+E49+E109)/5</f>
        <v/>
      </c>
      <c r="F133" s="297" t="n">
        <v>1.4306</v>
      </c>
      <c r="G133" s="298">
        <f>E133/1000*F133</f>
        <v/>
      </c>
    </row>
    <row r="134" spans="1:10">
      <c r="B134" s="6" t="s">
        <v>122</v>
      </c>
      <c r="C134" s="12" t="n">
        <v>39056</v>
      </c>
      <c r="D134" s="13" t="n"/>
      <c r="E134" s="13">
        <f>2*(E38+E50+E110)/5</f>
        <v/>
      </c>
      <c r="F134" s="297" t="n">
        <v>1.434</v>
      </c>
      <c r="G134" s="298">
        <f>E134/1000*F134</f>
        <v/>
      </c>
    </row>
    <row r="135" spans="1:10">
      <c r="B135" s="6" t="s">
        <v>123</v>
      </c>
      <c r="C135" s="12" t="n">
        <v>38725</v>
      </c>
      <c r="D135" s="13" t="n"/>
      <c r="E135" s="13">
        <f>2*(E39+E51+E111)/5</f>
        <v/>
      </c>
      <c r="F135" s="297" t="n">
        <v>1.459097532447671</v>
      </c>
      <c r="G135" s="298">
        <f>E135/1000*F135</f>
        <v/>
      </c>
    </row>
    <row r="136" spans="1:10">
      <c r="A136" s="45" t="n"/>
      <c r="B136" s="54" t="n"/>
      <c r="C136" s="54" t="n"/>
      <c r="D136" s="54" t="n"/>
      <c r="E136" s="54" t="n"/>
      <c r="F136" s="54" t="n"/>
      <c r="G136" s="305" t="n"/>
      <c r="H136" s="295" t="n"/>
    </row>
    <row r="137" spans="1:10">
      <c r="A137" s="8" t="s">
        <v>19</v>
      </c>
      <c r="B137" s="205" t="n"/>
      <c r="C137" s="54" t="n"/>
      <c r="D137" s="54" t="n"/>
      <c r="E137" s="54" t="n"/>
      <c r="F137" s="54" t="n"/>
      <c r="G137" s="305" t="n"/>
    </row>
    <row r="138" spans="1:10">
      <c r="A138" s="8" t="s">
        <v>65</v>
      </c>
      <c r="B138" s="205" t="n"/>
      <c r="C138" s="54" t="n"/>
      <c r="D138" s="54" t="n"/>
      <c r="E138" s="54" t="n"/>
      <c r="F138" s="54" t="n"/>
      <c r="G138" s="54" t="n"/>
    </row>
    <row r="139" spans="1:10">
      <c r="A139" s="45" t="s">
        <v>66</v>
      </c>
      <c r="B139" s="205" t="n"/>
      <c r="C139" s="54" t="n"/>
      <c r="D139" s="54" t="n"/>
      <c r="E139" s="54" t="n"/>
      <c r="F139" s="54" t="n"/>
      <c r="G139" s="54" t="n"/>
    </row>
    <row r="140" spans="1:10">
      <c r="A140" s="45" t="s">
        <v>24</v>
      </c>
      <c r="B140" s="205" t="n"/>
      <c r="C140" s="54" t="n"/>
      <c r="D140" s="54" t="n"/>
      <c r="E140" s="54" t="n"/>
      <c r="F140" s="54" t="n"/>
      <c r="G140" s="54" t="n"/>
    </row>
    <row r="141" spans="1:10">
      <c r="A141" s="45" t="s">
        <v>25</v>
      </c>
      <c r="B141" s="205" t="n"/>
      <c r="C141" s="54" t="n"/>
      <c r="D141" s="54" t="n"/>
      <c r="E141" s="54" t="n"/>
      <c r="F141" s="54" t="n"/>
      <c r="G141" s="54" t="n"/>
    </row>
    <row r="142" spans="1:10">
      <c r="A142" s="45" t="n"/>
      <c r="B142" s="205" t="n"/>
      <c r="C142" s="54" t="n"/>
      <c r="D142" s="54" t="n"/>
      <c r="E142" s="54" t="n"/>
      <c r="F142" s="54" t="n"/>
      <c r="G142" s="54" t="n"/>
    </row>
    <row r="143" spans="1:10">
      <c r="A143" s="45" t="n"/>
      <c r="B143" s="205" t="n"/>
      <c r="C143" s="54" t="n"/>
      <c r="D143" s="54" t="n"/>
      <c r="E143" s="54" t="n"/>
      <c r="F143" s="54" t="n"/>
      <c r="G143" s="54" t="n"/>
    </row>
    <row r="144" spans="1:10">
      <c r="A144" s="45" t="n"/>
      <c r="B144" s="205" t="n"/>
    </row>
    <row r="145" spans="1:10">
      <c r="A145" s="45" t="n"/>
      <c r="B145" s="205" t="n"/>
    </row>
    <row r="146" spans="1:10">
      <c r="A146" s="45" t="n"/>
      <c r="B146" s="205" t="n"/>
    </row>
    <row r="147" spans="1:10">
      <c r="A147" s="45" t="n"/>
      <c r="B147" s="205" t="n"/>
    </row>
    <row r="148" spans="1:10">
      <c r="A148" s="45" t="n"/>
      <c r="B148" s="205" t="n"/>
    </row>
    <row r="149" spans="1:10">
      <c r="A149" s="45" t="n"/>
      <c r="B149" s="205" t="n"/>
    </row>
    <row r="150" spans="1:10">
      <c r="A150" s="45" t="n"/>
      <c r="B150" s="205" t="n"/>
    </row>
    <row r="151" spans="1:10">
      <c r="A151" s="45" t="n"/>
      <c r="B151" s="205" t="n"/>
    </row>
    <row r="152" spans="1:10">
      <c r="A152" s="45" t="n"/>
      <c r="B152" s="205" t="n"/>
    </row>
    <row r="153" spans="1:10">
      <c r="A153" s="45" t="n"/>
      <c r="B153" s="205" t="n"/>
    </row>
    <row r="154" spans="1:10">
      <c r="A154" s="45" t="n"/>
      <c r="B154" s="205" t="n"/>
    </row>
    <row r="155" spans="1:10">
      <c r="A155" s="45" t="n"/>
      <c r="B155" s="205" t="n"/>
    </row>
    <row r="156" spans="1:10">
      <c r="A156" s="45" t="n"/>
      <c r="B156" s="205" t="n"/>
    </row>
    <row r="157" spans="1:10">
      <c r="A157" s="45" t="n"/>
      <c r="B157" s="205" t="n"/>
    </row>
    <row r="158" spans="1:10">
      <c r="A158" s="45" t="n"/>
      <c r="B158" s="205" t="n"/>
    </row>
    <row r="159" spans="1:10">
      <c r="A159" s="45" t="n"/>
      <c r="B159" s="205" t="n"/>
    </row>
    <row r="160" spans="1:10">
      <c r="A160" s="45" t="n"/>
      <c r="B160" s="205" t="n"/>
    </row>
    <row r="161" spans="1:10">
      <c r="A161" s="45" t="n"/>
      <c r="B161" s="205" t="n"/>
    </row>
    <row r="162" spans="1:10">
      <c r="A162" s="45" t="n"/>
      <c r="B162" s="205" t="n"/>
    </row>
    <row r="163" spans="1:10">
      <c r="A163" s="45" t="n"/>
      <c r="B163" s="205" t="n"/>
    </row>
    <row r="164" spans="1:10">
      <c r="A164" s="45" t="n"/>
      <c r="B164" s="205" t="n"/>
    </row>
    <row r="165" spans="1:10">
      <c r="A165" s="45" t="n"/>
      <c r="B165" s="205" t="n"/>
    </row>
    <row r="166" spans="1:10">
      <c r="A166" s="45" t="n"/>
      <c r="B166" s="205" t="n"/>
    </row>
    <row r="167" spans="1:10">
      <c r="A167" s="45" t="n"/>
      <c r="B167" s="205" t="n"/>
    </row>
    <row r="168" spans="1:10">
      <c r="A168" s="45" t="n"/>
      <c r="B168" s="205" t="n"/>
    </row>
    <row r="169" spans="1:10">
      <c r="A169" s="45" t="n"/>
      <c r="B169" s="205" t="n"/>
    </row>
    <row r="170" spans="1:10">
      <c r="A170" s="45" t="n"/>
      <c r="B170" s="205" t="n"/>
    </row>
    <row r="171" spans="1:10">
      <c r="A171" s="45" t="n"/>
      <c r="B171" s="205" t="n"/>
    </row>
    <row r="172" spans="1:10">
      <c r="A172" s="45" t="n"/>
      <c r="B172" s="205" t="n"/>
    </row>
    <row r="173" spans="1:10">
      <c r="A173" s="45" t="n"/>
      <c r="B173" s="205" t="n"/>
    </row>
    <row r="174" spans="1:10">
      <c r="A174" s="45" t="n"/>
      <c r="B174" s="205" t="n"/>
    </row>
    <row r="175" spans="1:10">
      <c r="A175" s="45" t="n"/>
      <c r="B175" s="205" t="n"/>
    </row>
    <row r="176" spans="1:10">
      <c r="A176" s="45" t="n"/>
      <c r="B176" s="205" t="n"/>
    </row>
    <row r="177" spans="1:10">
      <c r="A177" s="45" t="n"/>
      <c r="B177" s="205" t="n"/>
    </row>
    <row r="178" spans="1:10">
      <c r="A178" s="45" t="n"/>
      <c r="B178" s="205" t="n"/>
    </row>
    <row r="179" spans="1:10">
      <c r="A179" s="45" t="n"/>
      <c r="B179" s="205" t="n"/>
    </row>
    <row r="180" spans="1:10">
      <c r="A180" s="45" t="n"/>
      <c r="B180" s="205" t="n"/>
    </row>
    <row r="181" spans="1:10">
      <c r="A181" s="45" t="n"/>
      <c r="B181" s="205" t="n"/>
    </row>
    <row r="182" spans="1:10">
      <c r="A182" s="45" t="n"/>
      <c r="B182" s="205" t="n"/>
    </row>
    <row r="183" spans="1:10">
      <c r="A183" s="45" t="n"/>
      <c r="B183" s="205" t="n"/>
    </row>
    <row r="184" spans="1:10">
      <c r="A184" s="45" t="n"/>
      <c r="B184" s="205" t="n"/>
    </row>
    <row r="185" spans="1:10">
      <c r="A185" s="45" t="n"/>
      <c r="B185" s="205" t="n"/>
    </row>
    <row r="186" spans="1:10">
      <c r="A186" s="45" t="n"/>
      <c r="B186" s="205" t="n"/>
    </row>
    <row r="187" spans="1:10">
      <c r="A187" s="45" t="n"/>
      <c r="B187" s="205" t="n"/>
    </row>
    <row r="188" spans="1:10">
      <c r="A188" s="45" t="n"/>
      <c r="B188" s="205" t="n"/>
    </row>
    <row r="189" spans="1:10">
      <c r="A189" s="45" t="n"/>
      <c r="B189" s="205" t="n"/>
    </row>
    <row r="190" spans="1:10">
      <c r="A190" s="45" t="n"/>
      <c r="B190" s="205" t="n"/>
    </row>
    <row r="191" spans="1:10">
      <c r="A191" s="45" t="n"/>
      <c r="B191" s="205" t="n"/>
    </row>
    <row r="192" spans="1:10">
      <c r="A192" s="45" t="n"/>
      <c r="B192" s="205" t="n"/>
    </row>
    <row r="193" spans="1:10">
      <c r="A193" s="45" t="n"/>
      <c r="B193" s="205" t="n"/>
    </row>
    <row r="194" spans="1:10">
      <c r="A194" s="45" t="n"/>
      <c r="B194" s="205" t="n"/>
    </row>
    <row r="195" spans="1:10">
      <c r="A195" s="45" t="n"/>
      <c r="B195" s="205" t="n"/>
    </row>
    <row r="196" spans="1:10">
      <c r="A196" s="45" t="n"/>
      <c r="B196" s="205" t="n"/>
    </row>
    <row r="197" spans="1:10">
      <c r="A197" s="45" t="n"/>
      <c r="B197" s="205" t="n"/>
    </row>
    <row r="198" spans="1:10">
      <c r="A198" s="45" t="n"/>
      <c r="B198" s="205" t="n"/>
    </row>
    <row r="199" spans="1:10">
      <c r="A199" s="45" t="n"/>
      <c r="B199" s="205" t="n"/>
    </row>
    <row r="200" spans="1:10">
      <c r="A200" s="45" t="n"/>
      <c r="B200" s="205" t="n"/>
    </row>
    <row r="201" spans="1:10">
      <c r="A201" s="45" t="n"/>
      <c r="B201" s="205" t="n"/>
    </row>
    <row r="202" spans="1:10">
      <c r="A202" s="45" t="n"/>
      <c r="B202" s="205" t="n"/>
    </row>
    <row r="203" spans="1:10">
      <c r="A203" s="45" t="n"/>
      <c r="B203" s="205" t="n"/>
    </row>
    <row r="204" spans="1:10">
      <c r="A204" s="45" t="n"/>
      <c r="B204" s="205" t="n"/>
    </row>
    <row r="205" spans="1:10">
      <c r="A205" s="45" t="n"/>
      <c r="B205" s="205" t="n"/>
    </row>
    <row r="206" spans="1:10">
      <c r="A206" s="45" t="n"/>
      <c r="B206" s="205" t="n"/>
    </row>
    <row r="207" spans="1:10">
      <c r="A207" s="45" t="n"/>
      <c r="B207" s="205" t="n"/>
    </row>
    <row r="208" spans="1:10">
      <c r="A208" s="45" t="n"/>
      <c r="B208" s="205" t="n"/>
    </row>
    <row r="209" spans="1:10">
      <c r="A209" s="45" t="n"/>
      <c r="B209" s="205" t="n"/>
    </row>
    <row r="210" spans="1:10">
      <c r="A210" s="45" t="n"/>
      <c r="B210" s="205" t="n"/>
    </row>
    <row r="211" spans="1:10">
      <c r="A211" s="45" t="n"/>
      <c r="B211" s="205" t="n"/>
    </row>
    <row r="212" spans="1:10">
      <c r="A212" s="45" t="n"/>
      <c r="B212" s="205" t="n"/>
    </row>
    <row r="213" spans="1:10">
      <c r="A213" s="45" t="n"/>
      <c r="B213" s="205" t="n"/>
    </row>
    <row r="214" spans="1:10">
      <c r="A214" s="45" t="n"/>
      <c r="B214" s="205" t="n"/>
    </row>
    <row r="215" spans="1:10">
      <c r="A215" s="45" t="n"/>
      <c r="B215" s="205" t="n"/>
    </row>
    <row r="216" spans="1:10">
      <c r="A216" s="45" t="n"/>
      <c r="B216" s="205" t="n"/>
    </row>
    <row r="217" spans="1:10">
      <c r="A217" s="45" t="n"/>
      <c r="B217" s="205" t="n"/>
    </row>
    <row r="218" spans="1:10">
      <c r="A218" s="45" t="n"/>
      <c r="B218" s="205" t="n"/>
    </row>
    <row r="219" spans="1:10">
      <c r="A219" s="45" t="n"/>
      <c r="B219" s="205" t="n"/>
    </row>
    <row r="220" spans="1:10">
      <c r="A220" s="45" t="n"/>
      <c r="B220" s="205" t="n"/>
    </row>
    <row r="221" spans="1:10">
      <c r="A221" s="45" t="n"/>
      <c r="B221" s="205" t="n"/>
    </row>
    <row r="222" spans="1:10">
      <c r="A222" s="45" t="n"/>
      <c r="B222" s="205" t="n"/>
    </row>
    <row r="223" spans="1:10">
      <c r="A223" s="45" t="n"/>
      <c r="B223" s="205" t="n"/>
    </row>
    <row r="224" spans="1:10">
      <c r="A224" s="45" t="n"/>
      <c r="B224" s="205" t="n"/>
    </row>
    <row r="225" spans="1:10">
      <c r="A225" s="45" t="n"/>
      <c r="B225" s="205" t="n"/>
    </row>
    <row r="226" spans="1:10">
      <c r="A226" s="45" t="n"/>
      <c r="B226" s="205" t="n"/>
    </row>
    <row r="227" spans="1:10">
      <c r="A227" s="45" t="n"/>
      <c r="B227" s="205" t="n"/>
    </row>
    <row r="228" spans="1:10">
      <c r="A228" s="45" t="n"/>
      <c r="B228" s="205" t="n"/>
    </row>
    <row r="229" spans="1:10">
      <c r="A229" s="45" t="n"/>
      <c r="B229" s="205" t="n"/>
    </row>
    <row r="230" spans="1:10">
      <c r="A230" s="45" t="n"/>
      <c r="B230" s="205" t="n"/>
    </row>
    <row r="231" spans="1:10">
      <c r="A231" s="45" t="n"/>
      <c r="B231" s="205" t="n"/>
    </row>
    <row r="232" spans="1:10">
      <c r="A232" s="45" t="n"/>
      <c r="B232" s="205" t="n"/>
    </row>
    <row r="233" spans="1:10">
      <c r="A233" s="45" t="n"/>
      <c r="B233" s="205" t="n"/>
    </row>
    <row r="234" spans="1:10">
      <c r="A234" s="45" t="n"/>
      <c r="B234" s="205" t="n"/>
    </row>
    <row r="235" spans="1:10">
      <c r="A235" s="45" t="n"/>
      <c r="B235" s="205" t="n"/>
    </row>
    <row r="236" spans="1:10">
      <c r="A236" s="45" t="n"/>
      <c r="B236" s="205" t="n"/>
    </row>
    <row r="237" spans="1:10">
      <c r="A237" s="45" t="n"/>
      <c r="B237" s="205" t="n"/>
    </row>
    <row r="238" spans="1:10">
      <c r="A238" s="45" t="n"/>
      <c r="B238" s="205" t="n"/>
    </row>
    <row r="239" spans="1:10">
      <c r="A239" s="45" t="n"/>
      <c r="B239" s="205" t="n"/>
    </row>
    <row r="240" spans="1:10">
      <c r="A240" s="45" t="n"/>
      <c r="B240" s="205" t="n"/>
    </row>
    <row r="241" spans="1:10">
      <c r="A241" s="45" t="n"/>
      <c r="B241" s="205" t="n"/>
    </row>
    <row r="242" spans="1:10">
      <c r="A242" s="45" t="n"/>
      <c r="B242" s="205" t="n"/>
    </row>
    <row r="243" spans="1:10">
      <c r="A243" s="45" t="n"/>
      <c r="B243" s="205" t="n"/>
    </row>
    <row r="244" spans="1:10">
      <c r="A244" s="45" t="n"/>
      <c r="B244" s="205" t="n"/>
    </row>
    <row r="245" spans="1:10">
      <c r="A245" s="45" t="n"/>
      <c r="B245" s="205" t="n"/>
    </row>
    <row r="246" spans="1:10">
      <c r="A246" s="45" t="n"/>
      <c r="B246" s="205" t="n"/>
    </row>
    <row r="247" spans="1:10">
      <c r="A247" s="45" t="n"/>
      <c r="B247" s="205" t="n"/>
    </row>
    <row r="248" spans="1:10">
      <c r="A248" s="45" t="n"/>
      <c r="B248" s="205" t="n"/>
    </row>
    <row r="249" spans="1:10">
      <c r="A249" s="45" t="n"/>
      <c r="B249" s="205" t="n"/>
    </row>
    <row r="250" spans="1:10">
      <c r="A250" s="45" t="n"/>
      <c r="B250" s="205" t="n"/>
    </row>
    <row r="251" spans="1:10">
      <c r="A251" s="45" t="n"/>
      <c r="B251" s="205" t="n"/>
    </row>
    <row r="252" spans="1:10">
      <c r="A252" s="45" t="n"/>
      <c r="B252" s="205" t="n"/>
    </row>
    <row r="253" spans="1:10">
      <c r="A253" s="45" t="n"/>
      <c r="B253" s="205" t="n"/>
    </row>
    <row r="254" spans="1:10">
      <c r="A254" s="45" t="n"/>
      <c r="B254" s="205" t="n"/>
    </row>
    <row r="255" spans="1:10">
      <c r="A255" s="45" t="n"/>
      <c r="B255" s="205" t="n"/>
    </row>
    <row r="256" spans="1:10">
      <c r="A256" s="45" t="n"/>
      <c r="B256" s="205" t="n"/>
    </row>
    <row r="257" spans="1:10">
      <c r="A257" s="45" t="n"/>
      <c r="B257" s="205" t="n"/>
    </row>
    <row r="258" spans="1:10">
      <c r="A258" s="45" t="n"/>
      <c r="B258" s="205" t="n"/>
    </row>
    <row r="259" spans="1:10">
      <c r="A259" s="45" t="n"/>
      <c r="B259" s="205" t="n"/>
    </row>
    <row r="260" spans="1:10">
      <c r="A260" s="45" t="n"/>
      <c r="B260" s="205" t="n"/>
    </row>
    <row r="261" spans="1:10">
      <c r="A261" s="45" t="n"/>
      <c r="B261" s="205" t="n"/>
    </row>
    <row r="262" spans="1:10">
      <c r="A262" s="45" t="n"/>
      <c r="B262" s="205" t="n"/>
    </row>
    <row r="263" spans="1:10">
      <c r="A263" s="45" t="n"/>
      <c r="B263" s="205" t="n"/>
    </row>
    <row r="264" spans="1:10">
      <c r="A264" s="45" t="n"/>
      <c r="B264" s="205" t="n"/>
    </row>
    <row r="265" spans="1:10">
      <c r="A265" s="45" t="n"/>
      <c r="B265" s="205" t="n"/>
    </row>
    <row r="266" spans="1:10">
      <c r="A266" s="45" t="n"/>
      <c r="B266" s="205" t="n"/>
    </row>
    <row r="267" spans="1:10">
      <c r="A267" s="45" t="n"/>
      <c r="B267" s="205" t="n"/>
    </row>
    <row r="268" spans="1:10">
      <c r="A268" s="45" t="n"/>
      <c r="B268" s="205" t="n"/>
    </row>
    <row r="269" spans="1:10">
      <c r="A269" s="45" t="n"/>
      <c r="B269" s="205" t="n"/>
    </row>
    <row r="270" spans="1:10">
      <c r="A270" s="45" t="n"/>
      <c r="B270" s="205" t="n"/>
    </row>
    <row r="271" spans="1:10">
      <c r="A271" s="45" t="n"/>
      <c r="B271" s="205" t="n"/>
    </row>
    <row r="272" spans="1:10">
      <c r="A272" s="45" t="n"/>
      <c r="B272" s="205" t="n"/>
    </row>
    <row r="273" spans="1:10">
      <c r="A273" s="45" t="n"/>
      <c r="B273" s="205" t="n"/>
    </row>
    <row r="274" spans="1:10">
      <c r="A274" s="45" t="n"/>
      <c r="B274" s="205" t="n"/>
    </row>
    <row r="275" spans="1:10">
      <c r="A275" s="45" t="n"/>
      <c r="B275" s="205" t="n"/>
    </row>
    <row r="276" spans="1:10">
      <c r="A276" s="45" t="n"/>
      <c r="B276" s="205" t="n"/>
    </row>
    <row r="277" spans="1:10">
      <c r="A277" s="45" t="n"/>
      <c r="B277" s="205" t="n"/>
    </row>
    <row r="278" spans="1:10">
      <c r="A278" s="45" t="n"/>
      <c r="B278" s="205" t="n"/>
    </row>
    <row r="279" spans="1:10">
      <c r="A279" s="45" t="n"/>
      <c r="B279" s="205" t="n"/>
    </row>
    <row r="280" spans="1:10">
      <c r="A280" s="45" t="n"/>
      <c r="B280" s="205" t="n"/>
    </row>
    <row r="281" spans="1:10">
      <c r="A281" s="45" t="n"/>
      <c r="B281" s="205" t="n"/>
    </row>
    <row r="282" spans="1:10">
      <c r="A282" s="45" t="n"/>
      <c r="B282" s="205" t="n"/>
    </row>
    <row r="283" spans="1:10">
      <c r="A283" s="45" t="n"/>
      <c r="B283" s="205" t="n"/>
    </row>
    <row r="284" spans="1:10">
      <c r="A284" s="45" t="n"/>
      <c r="B284" s="205" t="n"/>
    </row>
    <row r="285" spans="1:10">
      <c r="A285" s="45" t="n"/>
      <c r="B285" s="205" t="n"/>
    </row>
    <row r="286" spans="1:10">
      <c r="A286" s="45" t="n"/>
      <c r="B286" s="205" t="n"/>
    </row>
    <row r="287" spans="1:10">
      <c r="A287" s="45" t="n"/>
      <c r="B287" s="205" t="n"/>
    </row>
    <row r="288" spans="1:10">
      <c r="A288" s="45" t="n"/>
      <c r="B288" s="205" t="n"/>
    </row>
    <row r="289" spans="1:10">
      <c r="A289" s="45" t="n"/>
      <c r="B289" s="205" t="n"/>
    </row>
    <row r="290" spans="1:10">
      <c r="A290" s="45" t="n"/>
      <c r="B290" s="205" t="n"/>
    </row>
    <row r="291" spans="1:10">
      <c r="A291" s="45" t="n"/>
      <c r="B291" s="205" t="n"/>
    </row>
    <row r="292" spans="1:10">
      <c r="A292" s="45" t="n"/>
      <c r="B292" s="205" t="n"/>
    </row>
    <row r="293" spans="1:10">
      <c r="A293" s="45" t="n"/>
      <c r="B293" s="205" t="n"/>
    </row>
    <row r="294" spans="1:10">
      <c r="A294" s="45" t="n"/>
      <c r="B294" s="205" t="n"/>
    </row>
    <row r="295" spans="1:10">
      <c r="A295" s="45" t="n"/>
      <c r="B295" s="205" t="n"/>
    </row>
    <row r="296" spans="1:10">
      <c r="A296" s="45" t="n"/>
      <c r="B296" s="205" t="n"/>
    </row>
    <row r="297" spans="1:10">
      <c r="A297" s="45" t="n"/>
      <c r="B297" s="205" t="n"/>
    </row>
    <row r="298" spans="1:10">
      <c r="A298" s="45" t="n"/>
      <c r="B298" s="205" t="n"/>
    </row>
    <row r="299" spans="1:10">
      <c r="A299" s="45" t="n"/>
      <c r="B299" s="205" t="n"/>
    </row>
    <row r="300" spans="1:10">
      <c r="A300" s="45" t="n"/>
      <c r="B300" s="205" t="n"/>
    </row>
    <row r="301" spans="1:10">
      <c r="A301" s="45" t="n"/>
      <c r="B301" s="205" t="n"/>
    </row>
    <row r="302" spans="1:10">
      <c r="A302" s="45" t="n"/>
      <c r="B302" s="205" t="n"/>
    </row>
    <row r="303" spans="1:10">
      <c r="A303" s="45" t="n"/>
      <c r="B303" s="205" t="n"/>
    </row>
    <row r="304" spans="1:10">
      <c r="A304" s="45" t="n"/>
      <c r="B304" s="205" t="n"/>
    </row>
    <row r="305" spans="1:10">
      <c r="A305" s="45" t="n"/>
      <c r="B305" s="205" t="n"/>
    </row>
    <row r="306" spans="1:10">
      <c r="A306" s="45" t="n"/>
      <c r="B306" s="205" t="n"/>
    </row>
    <row r="307" spans="1:10">
      <c r="A307" s="45" t="n"/>
      <c r="B307" s="205" t="n"/>
    </row>
    <row r="308" spans="1:10">
      <c r="A308" s="45" t="n"/>
      <c r="B308" s="205" t="n"/>
    </row>
    <row r="309" spans="1:10">
      <c r="A309" s="45" t="n"/>
      <c r="B309" s="205" t="n"/>
    </row>
    <row r="310" spans="1:10">
      <c r="A310" s="45" t="n"/>
      <c r="B310" s="205" t="n"/>
    </row>
    <row r="311" spans="1:10">
      <c r="A311" s="45" t="n"/>
      <c r="B311" s="205" t="n"/>
    </row>
    <row r="312" spans="1:10">
      <c r="A312" s="45" t="n"/>
      <c r="B312" s="205" t="n"/>
    </row>
  </sheetData>
  <mergeCells count="11">
    <mergeCell ref="A124:A135"/>
    <mergeCell ref="A112:A123"/>
    <mergeCell ref="A100:A111"/>
    <mergeCell ref="A88:A99"/>
    <mergeCell ref="A28:A39"/>
    <mergeCell ref="A16:A27"/>
    <mergeCell ref="A4:A15"/>
    <mergeCell ref="A76:A87"/>
    <mergeCell ref="A64:A75"/>
    <mergeCell ref="A52:A63"/>
    <mergeCell ref="A40:A51"/>
  </mergeCells>
  <printOptions horizontalCentered="1"/>
  <pageMargins bottom="0.75" footer="0.5" header="0.5" left="0.5" right="0.5" top="0.75"/>
  <pageSetup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  <legacyDrawing r:id="anysvml"/>
</worksheet>
</file>

<file path=xl/worksheets/sheet11.xml><?xml version="1.0" encoding="utf-8"?>
<worksheet xmlns="http://schemas.openxmlformats.org/spreadsheetml/2006/main">
  <sheetPr codeName="Sheet11">
    <outlinePr summaryBelow="1" summaryRight="1"/>
    <pageSetUpPr fitToPage="1"/>
  </sheetPr>
  <dimension ref="A1:Q62"/>
  <sheetViews>
    <sheetView workbookViewId="0" zoomScale="140" zoomScaleNormal="140">
      <pane activePane="bottomLeft" state="frozen" topLeftCell="A6" ySplit="5"/>
      <selection activeCell="D26" activeCellId="1" sqref="I28 D26"/>
      <selection activeCell="S11" pane="bottomLeft" sqref="S11"/>
    </sheetView>
  </sheetViews>
  <sheetFormatPr baseColWidth="8" defaultRowHeight="12.75" outlineLevelCol="0"/>
  <cols>
    <col customWidth="1" max="1" min="1" style="148" width="16"/>
    <col customWidth="1" max="2" min="2" style="148" width="11.140625"/>
    <col customWidth="1" hidden="1" max="6" min="3" style="148" width="7.85546875"/>
    <col customWidth="1" hidden="1" max="9" min="7" style="148" width="6.5703125"/>
    <col bestFit="1" customWidth="1" max="10" min="10" style="148" width="6.5703125"/>
    <col customWidth="1" hidden="1" max="11" min="11" style="148" width="9.5703125"/>
    <col customWidth="1" hidden="1" max="12" min="12" style="148" width="9.7109375"/>
    <col customWidth="1" hidden="1" max="13" min="13" style="148" width="9.5703125"/>
    <col customWidth="1" hidden="1" max="14" min="14" style="148" width="7.85546875"/>
    <col customWidth="1" hidden="1" max="15" min="15" style="146" width="8.7109375"/>
    <col customWidth="1" hidden="1" max="16" min="16" style="146" width="6.5703125"/>
    <col customWidth="1" max="25" min="17" style="146" width="9.140625"/>
    <col customWidth="1" max="26" min="26" style="146" width="5.7109375"/>
  </cols>
  <sheetData>
    <row customHeight="1" ht="15.75" r="1" s="146" spans="1:17">
      <c r="A1" s="30" t="s">
        <v>11</v>
      </c>
      <c r="B1" s="148" t="n"/>
      <c r="K1" s="148" t="n"/>
      <c r="M1" s="148" t="n"/>
      <c r="Q1" s="148" t="n"/>
    </row>
    <row r="2" spans="1:17">
      <c r="A2" s="148" t="n"/>
      <c r="B2" s="148" t="n"/>
      <c r="C2" s="148" t="n"/>
      <c r="D2" s="148" t="n"/>
      <c r="E2" s="148" t="n"/>
      <c r="K2" s="148" t="n"/>
      <c r="M2" s="148" t="n"/>
      <c r="N2" s="148" t="n"/>
    </row>
    <row r="3" spans="1:17">
      <c r="A3" s="106" t="s">
        <v>57</v>
      </c>
      <c r="B3" s="106" t="s">
        <v>4</v>
      </c>
      <c r="C3" s="271">
        <f>'Utility Summary'!C3</f>
        <v/>
      </c>
      <c r="D3" s="271">
        <f>'Utility Summary'!D3</f>
        <v/>
      </c>
      <c r="E3" s="271">
        <f>'Utility Summary'!E3</f>
        <v/>
      </c>
      <c r="F3" s="271">
        <f>'Utility Summary'!F3</f>
        <v/>
      </c>
      <c r="G3" s="271">
        <f>'Utility Summary'!G3</f>
        <v/>
      </c>
      <c r="H3" s="271">
        <f>'Utility Summary'!H3</f>
        <v/>
      </c>
      <c r="I3" s="271">
        <f>'Utility Summary'!I3</f>
        <v/>
      </c>
      <c r="J3" s="271">
        <f>'Utility Summary'!J3</f>
        <v/>
      </c>
      <c r="K3" s="271">
        <f>'Utility Summary'!K3</f>
        <v/>
      </c>
      <c r="L3" s="271">
        <f>'Utility Summary'!L3</f>
        <v/>
      </c>
      <c r="M3" s="271">
        <f>'Utility Summary'!M3</f>
        <v/>
      </c>
      <c r="N3" s="282">
        <f>'Utility Summary'!N3</f>
        <v/>
      </c>
      <c r="O3" s="109" t="s">
        <v>1</v>
      </c>
      <c r="P3" s="110" t="s">
        <v>5</v>
      </c>
    </row>
    <row r="4" spans="1:17">
      <c r="A4" s="148" t="n"/>
      <c r="B4" s="125" t="s">
        <v>32</v>
      </c>
      <c r="C4" s="257">
        <f>Electricity!C4</f>
        <v/>
      </c>
      <c r="D4" s="257">
        <f>Electricity!D4</f>
        <v/>
      </c>
      <c r="E4" s="257">
        <f>Electricity!E4</f>
        <v/>
      </c>
      <c r="F4" s="257">
        <f>Electricity!F4</f>
        <v/>
      </c>
      <c r="G4" s="257">
        <f>Electricity!G4</f>
        <v/>
      </c>
      <c r="H4" s="257">
        <f>Electricity!H4</f>
        <v/>
      </c>
      <c r="I4" s="257">
        <f>Electricity!I4</f>
        <v/>
      </c>
      <c r="J4" s="257">
        <f>Electricity!J4</f>
        <v/>
      </c>
      <c r="K4" s="257">
        <f>Electricity!K4</f>
        <v/>
      </c>
      <c r="L4" s="257">
        <f>Electricity!L4</f>
        <v/>
      </c>
      <c r="M4" s="257">
        <f>Electricity!M4</f>
        <v/>
      </c>
      <c r="N4" s="259">
        <f>Electricity!N4</f>
        <v/>
      </c>
      <c r="P4" s="111" t="n"/>
    </row>
    <row customFormat="1" customHeight="1" ht="22.5" r="5" s="82" spans="1:17">
      <c r="A5" s="70" t="n"/>
      <c r="B5" s="112" t="s">
        <v>144</v>
      </c>
      <c r="C5" s="283" t="n">
        <v>0.112355</v>
      </c>
      <c r="D5" s="283" t="n">
        <v>0.112355</v>
      </c>
      <c r="E5" s="306" t="n">
        <v>0.112355</v>
      </c>
      <c r="F5" s="283" t="n">
        <v>0.112355</v>
      </c>
      <c r="G5" s="306" t="n">
        <v>0.1124</v>
      </c>
      <c r="H5" s="306" t="n">
        <v>0.112355</v>
      </c>
      <c r="I5" s="306" t="n">
        <v>0.112355</v>
      </c>
      <c r="J5" s="306" t="n">
        <v>0.112355</v>
      </c>
      <c r="K5" s="306" t="n">
        <v>0.112355</v>
      </c>
      <c r="L5" s="306" t="n">
        <v>0.112355</v>
      </c>
      <c r="M5" s="306" t="n">
        <v>0.112355</v>
      </c>
      <c r="N5" s="307" t="n">
        <v>0.112355</v>
      </c>
      <c r="O5" s="114" t="n"/>
      <c r="P5" s="112" t="n"/>
    </row>
    <row r="6" spans="1:17">
      <c r="A6" s="106" t="n"/>
      <c r="B6" s="106" t="n"/>
      <c r="C6" s="106" t="n"/>
      <c r="D6" s="106" t="n"/>
      <c r="E6" s="106" t="n"/>
      <c r="F6" s="106" t="n"/>
      <c r="G6" s="106" t="n"/>
      <c r="H6" s="106" t="n"/>
      <c r="I6" s="106" t="n"/>
      <c r="J6" s="106" t="n"/>
      <c r="K6" s="106" t="n"/>
      <c r="L6" s="106" t="n"/>
      <c r="M6" s="106" t="n"/>
      <c r="N6" s="178" t="n"/>
      <c r="O6" s="115" t="n"/>
    </row>
    <row r="7" spans="1:17">
      <c r="A7" s="125" t="s">
        <v>59</v>
      </c>
      <c r="B7" s="148" t="s">
        <v>145</v>
      </c>
      <c r="C7" s="224">
        <f>21973.05/(2976/2976)</f>
        <v/>
      </c>
      <c r="D7" s="224">
        <f>24533.719/(2825/2976)</f>
        <v/>
      </c>
      <c r="E7" s="224">
        <f>22499.325/(2880/2880)</f>
        <v/>
      </c>
      <c r="F7" s="224">
        <f>10415.97/(2970/2976)</f>
        <v/>
      </c>
      <c r="G7" s="224">
        <f>4807.155/(2879/2880)</f>
        <v/>
      </c>
      <c r="H7" s="224">
        <f>1676.753/(2706/2976)</f>
        <v/>
      </c>
      <c r="I7" s="224">
        <f>480.215/(361/2976)</f>
        <v/>
      </c>
      <c r="J7" s="224">
        <f>112.656666996305/(96/2976)</f>
        <v/>
      </c>
      <c r="K7" s="224">
        <f>112.656666996305/(96/2976)</f>
        <v/>
      </c>
      <c r="L7" s="224">
        <f>6370.78/(2843/2880)</f>
        <v/>
      </c>
      <c r="M7" s="224">
        <f>9330/(2802/2976)</f>
        <v/>
      </c>
      <c r="N7" s="179">
        <f>15383.826/(2250/2880)</f>
        <v/>
      </c>
      <c r="O7" s="224">
        <f>SUM(C7:N7)</f>
        <v/>
      </c>
    </row>
    <row r="8" spans="1:17">
      <c r="A8" s="148" t="s">
        <v>61</v>
      </c>
      <c r="B8" s="148" t="s">
        <v>37</v>
      </c>
      <c r="C8" s="245">
        <f>ROUND(C7*C$5,2)</f>
        <v/>
      </c>
      <c r="D8" s="245">
        <f>ROUND(D7*D$5,2)</f>
        <v/>
      </c>
      <c r="E8" s="245">
        <f>ROUND(E7*E$5,2)</f>
        <v/>
      </c>
      <c r="F8" s="245">
        <f>ROUND(F7*F$5,2)</f>
        <v/>
      </c>
      <c r="G8" s="245">
        <f>ROUND(G7*G$5,2)</f>
        <v/>
      </c>
      <c r="H8" s="245">
        <f>ROUND(H7*H$5,2)</f>
        <v/>
      </c>
      <c r="I8" s="245">
        <f>ROUND(I7*I$5,2)</f>
        <v/>
      </c>
      <c r="J8" s="245">
        <f>ROUND(J7*J$5,2)</f>
        <v/>
      </c>
      <c r="K8" s="245">
        <f>ROUND(K7*K$5,2)</f>
        <v/>
      </c>
      <c r="L8" s="245">
        <f>ROUND(L7*L$5,2)</f>
        <v/>
      </c>
      <c r="M8" s="245">
        <f>ROUND(M7*M$5,2)</f>
        <v/>
      </c>
      <c r="N8" s="265">
        <f>ROUND(N7*N$5,2)</f>
        <v/>
      </c>
      <c r="O8" s="245">
        <f>SUM(C8:N8)</f>
        <v/>
      </c>
    </row>
    <row r="9" spans="1:17">
      <c r="A9" s="163" t="s">
        <v>146</v>
      </c>
      <c r="B9" s="148" t="n"/>
      <c r="C9" s="245" t="n"/>
      <c r="D9" s="245" t="n"/>
      <c r="E9" s="245" t="n"/>
      <c r="F9" s="245" t="n"/>
      <c r="G9" s="245" t="n"/>
      <c r="H9" s="245" t="n"/>
      <c r="I9" s="245" t="n"/>
      <c r="J9" s="245" t="n"/>
      <c r="L9" s="245" t="n"/>
      <c r="M9" s="245" t="n"/>
      <c r="N9" s="265" t="n"/>
      <c r="O9" s="245" t="n"/>
    </row>
    <row r="10" spans="1:17">
      <c r="A10" s="148" t="n"/>
      <c r="B10" s="148" t="n"/>
      <c r="C10" s="148" t="n"/>
      <c r="D10" s="148" t="n"/>
      <c r="E10" s="148" t="n"/>
      <c r="F10" s="148" t="n"/>
      <c r="G10" s="148" t="n"/>
      <c r="H10" s="148" t="n"/>
      <c r="I10" s="148" t="n"/>
      <c r="J10" s="148" t="n"/>
      <c r="L10" s="148" t="n"/>
      <c r="M10" s="148" t="n"/>
      <c r="N10" s="184" t="n"/>
    </row>
    <row r="11" spans="1:17">
      <c r="A11" s="87" t="n"/>
      <c r="B11" s="87" t="n"/>
      <c r="C11" s="87" t="n"/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185" t="n"/>
      <c r="O11" s="118" t="n"/>
      <c r="P11" s="118" t="n"/>
    </row>
    <row r="12" spans="1:17">
      <c r="A12" s="148" t="s">
        <v>147</v>
      </c>
      <c r="B12" s="111" t="n"/>
      <c r="C12" s="224">
        <f>SUM(C7)</f>
        <v/>
      </c>
      <c r="D12" s="224">
        <f>SUM(D7)</f>
        <v/>
      </c>
      <c r="E12" s="224">
        <f>SUM(E7)</f>
        <v/>
      </c>
      <c r="F12" s="224">
        <f>SUM(F7)</f>
        <v/>
      </c>
      <c r="G12" s="224">
        <f>SUM(G7)</f>
        <v/>
      </c>
      <c r="H12" s="224">
        <f>SUM(H7)</f>
        <v/>
      </c>
      <c r="I12" s="224">
        <f>SUM(I7)</f>
        <v/>
      </c>
      <c r="J12" s="224">
        <f>SUM(J7)</f>
        <v/>
      </c>
      <c r="K12" s="224">
        <f>SUM(K7)</f>
        <v/>
      </c>
      <c r="L12" s="224">
        <f>SUM(L7)</f>
        <v/>
      </c>
      <c r="M12" s="224">
        <f>SUM(M7)</f>
        <v/>
      </c>
      <c r="N12" s="179">
        <f>SUM(N7)</f>
        <v/>
      </c>
      <c r="O12" s="224">
        <f>SUM(O7)</f>
        <v/>
      </c>
      <c r="P12" s="224">
        <f>SUM(C12:N12)</f>
        <v/>
      </c>
    </row>
    <row r="13" spans="1:17">
      <c r="A13" s="148" t="s">
        <v>40</v>
      </c>
      <c r="B13" s="148" t="n"/>
      <c r="C13" s="245">
        <f>ROUND(SUM(C8),2)</f>
        <v/>
      </c>
      <c r="D13" s="245">
        <f>ROUND(SUM(D8),2)</f>
        <v/>
      </c>
      <c r="E13" s="245">
        <f>ROUND(SUM(E8),2)</f>
        <v/>
      </c>
      <c r="F13" s="245">
        <f>ROUND(SUM(F8),2)</f>
        <v/>
      </c>
      <c r="G13" s="245">
        <f>ROUND(SUM(G8),2)</f>
        <v/>
      </c>
      <c r="H13" s="245">
        <f>ROUND(SUM(H8),2)</f>
        <v/>
      </c>
      <c r="I13" s="245">
        <f>ROUND(SUM(I8),2)</f>
        <v/>
      </c>
      <c r="J13" s="245">
        <f>ROUND(SUM(J8),2)</f>
        <v/>
      </c>
      <c r="K13" s="245">
        <f>ROUND(SUM(K8),2)</f>
        <v/>
      </c>
      <c r="L13" s="245">
        <f>ROUND(SUM(L8),2)</f>
        <v/>
      </c>
      <c r="M13" s="245">
        <f>ROUND(SUM(M8),2)</f>
        <v/>
      </c>
      <c r="N13" s="245">
        <f>ROUND(SUM(N8),2)</f>
        <v/>
      </c>
      <c r="O13" s="248">
        <f>SUM(O8)</f>
        <v/>
      </c>
      <c r="P13" s="224">
        <f>TRUNC(SUM(C13:N13),2)</f>
        <v/>
      </c>
    </row>
    <row r="14" spans="1:17">
      <c r="A14" s="148" t="n"/>
      <c r="B14" s="148" t="n"/>
      <c r="H14" s="308" t="n"/>
      <c r="K14" s="148" t="n"/>
      <c r="M14" s="148" t="n"/>
      <c r="N14" s="148" t="n"/>
    </row>
    <row r="15" spans="1:17">
      <c r="A15" s="8" t="s">
        <v>19</v>
      </c>
      <c r="B15" s="148" t="n"/>
      <c r="K15" s="148" t="n"/>
      <c r="M15" s="148" t="n"/>
      <c r="N15" s="148" t="n"/>
    </row>
    <row r="16" spans="1:17">
      <c r="A16" s="45" t="s">
        <v>148</v>
      </c>
      <c r="B16" s="148" t="n"/>
      <c r="K16" s="148" t="n"/>
      <c r="M16" s="148" t="n"/>
      <c r="N16" s="148" t="n"/>
    </row>
    <row r="17" spans="1:17">
      <c r="A17" s="45" t="s">
        <v>149</v>
      </c>
      <c r="B17" s="148" t="n"/>
    </row>
    <row r="18" spans="1:17">
      <c r="A18" s="8" t="s">
        <v>150</v>
      </c>
      <c r="B18" s="148" t="n"/>
    </row>
    <row r="19" spans="1:17">
      <c r="A19" s="8" t="s">
        <v>151</v>
      </c>
      <c r="B19" s="148" t="n"/>
    </row>
    <row r="20" spans="1:17">
      <c r="A20" s="148" t="n"/>
      <c r="B20" s="148" t="n"/>
    </row>
    <row customFormat="1" r="54" s="148" spans="1:17">
      <c r="A54" s="148" t="n"/>
      <c r="B54" s="148" t="n"/>
      <c r="C54" s="148" t="n"/>
      <c r="D54" s="148" t="n"/>
      <c r="E54" s="148" t="n"/>
      <c r="F54" s="148" t="n"/>
      <c r="G54" s="148" t="n"/>
      <c r="H54" s="148" t="n"/>
      <c r="I54" s="148" t="n"/>
      <c r="J54" s="148" t="n"/>
      <c r="K54" s="148" t="n"/>
      <c r="L54" s="148" t="n"/>
      <c r="M54" s="148" t="n"/>
      <c r="N54" s="148" t="n"/>
    </row>
    <row customFormat="1" r="55" s="148" spans="1:17">
      <c r="A55" s="148" t="n"/>
      <c r="B55" s="148" t="n"/>
      <c r="C55" s="148" t="n"/>
      <c r="D55" s="148" t="n"/>
      <c r="E55" s="148" t="n"/>
      <c r="F55" s="148" t="n"/>
      <c r="G55" s="148" t="n"/>
      <c r="H55" s="148" t="n"/>
      <c r="I55" s="148" t="n"/>
      <c r="J55" s="148" t="n"/>
      <c r="K55" s="148" t="n"/>
      <c r="L55" s="148" t="n"/>
      <c r="M55" s="148" t="n"/>
      <c r="N55" s="148" t="n"/>
    </row>
    <row customFormat="1" r="56" s="148" spans="1:17">
      <c r="A56" s="148" t="n"/>
      <c r="B56" s="148" t="n"/>
      <c r="C56" s="148" t="n"/>
      <c r="D56" s="148" t="n"/>
      <c r="E56" s="148" t="n"/>
      <c r="F56" s="148" t="n"/>
      <c r="G56" s="148" t="n"/>
      <c r="H56" s="148" t="n"/>
      <c r="I56" s="148" t="n"/>
      <c r="J56" s="148" t="n"/>
      <c r="K56" s="148" t="n"/>
      <c r="L56" s="148" t="n"/>
      <c r="M56" s="148" t="n"/>
      <c r="N56" s="148" t="n"/>
    </row>
    <row customFormat="1" r="57" s="148" spans="1:17">
      <c r="A57" s="148" t="n"/>
      <c r="B57" s="148" t="n"/>
      <c r="C57" s="148" t="n"/>
      <c r="D57" s="148" t="n"/>
      <c r="E57" s="148" t="n"/>
      <c r="F57" s="148" t="n"/>
      <c r="G57" s="148" t="n"/>
      <c r="H57" s="148" t="n"/>
      <c r="I57" s="148" t="n"/>
      <c r="J57" s="148" t="n"/>
      <c r="K57" s="148" t="n"/>
      <c r="L57" s="148" t="n"/>
      <c r="M57" s="148" t="n"/>
      <c r="N57" s="148" t="n"/>
    </row>
    <row customFormat="1" r="58" s="148" spans="1:17">
      <c r="A58" s="148" t="n"/>
      <c r="B58" s="148" t="n"/>
      <c r="C58" s="148" t="n"/>
      <c r="D58" s="148" t="n"/>
      <c r="E58" s="148" t="n"/>
      <c r="F58" s="148" t="n"/>
      <c r="G58" s="148" t="n"/>
      <c r="H58" s="148" t="n"/>
      <c r="I58" s="148" t="n"/>
      <c r="J58" s="148" t="n"/>
      <c r="K58" s="148" t="n"/>
      <c r="L58" s="148" t="n"/>
      <c r="M58" s="148" t="n"/>
      <c r="N58" s="148" t="n"/>
    </row>
    <row customFormat="1" r="61" s="141" spans="1:17">
      <c r="A61" s="148" t="n"/>
      <c r="B61" s="148" t="n"/>
      <c r="C61" s="148" t="n"/>
      <c r="D61" s="1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</row>
    <row customFormat="1" r="62" s="205" spans="1:17">
      <c r="A62" s="148" t="n"/>
      <c r="B62" s="148" t="n"/>
      <c r="C62" s="148" t="n"/>
      <c r="D62" s="148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</row>
  </sheetData>
  <printOptions horizontalCentered="1" verticalCentered="1"/>
  <pageMargins bottom="0.5" footer="0.5" header="0.5" left="0" right="0" top="0.5"/>
  <pageSetup orientation="landscape" scale="8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U77"/>
  <sheetViews>
    <sheetView tabSelected="1" workbookViewId="0" zoomScale="140" zoomScaleNormal="140">
      <pane activePane="bottomRight" state="frozen" topLeftCell="G4" xSplit="2" ySplit="3"/>
      <selection activeCell="D26" activeCellId="1" sqref="I28 D26"/>
      <selection activeCell="D26" activeCellId="1" pane="topRight" sqref="I28 D26"/>
      <selection activeCell="D26" activeCellId="1" pane="bottomLeft" sqref="I28 D26"/>
      <selection activeCell="R12" pane="bottomRight" sqref="R12"/>
    </sheetView>
  </sheetViews>
  <sheetFormatPr baseColWidth="8" defaultColWidth="9.140625" defaultRowHeight="11.25" outlineLevelCol="0"/>
  <cols>
    <col customWidth="1" max="1" min="1" style="148" width="15.140625"/>
    <col customWidth="1" max="2" min="2" style="148" width="11.28515625"/>
    <col customWidth="1" max="4" min="3" style="148" width="8.7109375"/>
    <col customWidth="1" max="5" min="5" style="148" width="11.28515625"/>
    <col customWidth="1" max="6" min="6" style="148" width="8.7109375"/>
    <col customWidth="1" hidden="1" max="7" min="7" style="148" width="9.85546875"/>
    <col customWidth="1" hidden="1" max="9" min="8" style="148" width="8.7109375"/>
    <col customWidth="1" max="10" min="10" style="148" width="8.7109375"/>
    <col customWidth="1" hidden="1" max="11" min="11" style="148" width="9"/>
    <col customWidth="1" hidden="1" max="13" min="12" style="148" width="8.7109375"/>
    <col customWidth="1" hidden="1" max="14" min="14" style="148" width="8.42578125"/>
    <col customWidth="1" hidden="1" max="15" min="15" style="148" width="10.42578125"/>
    <col customWidth="1" hidden="1" max="16" min="16" style="148" width="12.5703125"/>
    <col customWidth="1" max="20" min="17" style="148" width="9.140625"/>
    <col customWidth="1" max="16384" min="21" style="148" width="9.140625"/>
  </cols>
  <sheetData>
    <row customHeight="1" ht="15.75" r="1" s="146" spans="1:21">
      <c r="A1" s="43" t="s">
        <v>2</v>
      </c>
      <c r="B1" s="148" t="n"/>
      <c r="O1" s="148" t="n"/>
    </row>
    <row r="2" spans="1:21">
      <c r="A2" s="87" t="n"/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7" t="n"/>
      <c r="N2" s="87" t="n"/>
      <c r="O2" s="87" t="n"/>
      <c r="P2" s="87" t="n"/>
    </row>
    <row r="3" spans="1:21">
      <c r="A3" s="148" t="s">
        <v>3</v>
      </c>
      <c r="B3" s="148" t="s">
        <v>4</v>
      </c>
      <c r="C3" s="243" t="n">
        <v>42917</v>
      </c>
      <c r="D3" s="243" t="n">
        <v>42948</v>
      </c>
      <c r="E3" s="243" t="n">
        <v>42979</v>
      </c>
      <c r="F3" s="243" t="n">
        <v>43009</v>
      </c>
      <c r="G3" s="243" t="n">
        <v>43040</v>
      </c>
      <c r="H3" s="243" t="n">
        <v>43070</v>
      </c>
      <c r="I3" s="243" t="n">
        <v>43101</v>
      </c>
      <c r="J3" s="243" t="n">
        <v>43132</v>
      </c>
      <c r="K3" s="243" t="n">
        <v>43160</v>
      </c>
      <c r="L3" s="243" t="n">
        <v>43191</v>
      </c>
      <c r="M3" s="243" t="n">
        <v>43221</v>
      </c>
      <c r="N3" s="243" t="n">
        <v>43252</v>
      </c>
      <c r="O3" s="175" t="s">
        <v>1</v>
      </c>
      <c r="P3" s="188" t="s">
        <v>5</v>
      </c>
    </row>
    <row r="4" spans="1:21">
      <c r="A4" s="106" t="n"/>
      <c r="B4" s="106" t="n"/>
      <c r="C4" s="106" t="n"/>
      <c r="D4" s="106" t="n"/>
      <c r="E4" s="106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48" t="n"/>
      <c r="P4" s="148" t="n"/>
    </row>
    <row r="5" spans="1:21">
      <c r="A5" s="148" t="s">
        <v>6</v>
      </c>
      <c r="B5" s="125" t="s">
        <v>7</v>
      </c>
      <c r="C5" s="217">
        <f>Electricity!C9</f>
        <v/>
      </c>
      <c r="D5" s="217">
        <f>Electricity!D9</f>
        <v/>
      </c>
      <c r="E5" s="217">
        <f>Electricity!E9</f>
        <v/>
      </c>
      <c r="F5" s="217">
        <f>Electricity!F9</f>
        <v/>
      </c>
      <c r="G5" s="217">
        <f>Electricity!G9</f>
        <v/>
      </c>
      <c r="H5" s="217">
        <f>Electricity!H9</f>
        <v/>
      </c>
      <c r="I5" s="217">
        <f>Electricity!I9</f>
        <v/>
      </c>
      <c r="J5" s="217">
        <f>Electricity!J9</f>
        <v/>
      </c>
      <c r="K5" s="217">
        <f>Electricity!K9</f>
        <v/>
      </c>
      <c r="L5" s="217">
        <f>Electricity!L9</f>
        <v/>
      </c>
      <c r="M5" s="217">
        <f>Electricity!M9</f>
        <v/>
      </c>
      <c r="N5" s="217">
        <f>TRUNC(Electricity!N9,2)</f>
        <v/>
      </c>
      <c r="O5" s="217">
        <f>TRUNC(SUM(C5:N5), 2)</f>
        <v/>
      </c>
      <c r="P5" s="217" t="n"/>
    </row>
    <row r="6" spans="1:21">
      <c r="A6" s="148" t="s">
        <v>8</v>
      </c>
      <c r="B6" s="125" t="s">
        <v>9</v>
      </c>
      <c r="C6" s="244">
        <f>ROUND(2/24*(Gas!C$9+Gas!C$13),2)</f>
        <v/>
      </c>
      <c r="D6" s="244">
        <f>ROUND(2/24*(Gas!D$9+Gas!D$13),2)</f>
        <v/>
      </c>
      <c r="E6" s="217">
        <f>ROUND(2/24*(Gas!E$9+Gas!E$13),2)</f>
        <v/>
      </c>
      <c r="F6" s="217">
        <f>ROUND(2/24*(Gas!F$9+Gas!F$13),2)</f>
        <v/>
      </c>
      <c r="G6" s="244">
        <f>ROUND(2/24*(Gas!G$9+Gas!G$13),2)</f>
        <v/>
      </c>
      <c r="H6" s="233">
        <f>ROUND(2/24*(Gas!H$9+Gas!H$13),2)</f>
        <v/>
      </c>
      <c r="I6" s="233">
        <f>ROUND(2/24*(Gas!I$9+Gas!I$13),2)</f>
        <v/>
      </c>
      <c r="J6" s="217">
        <f>ROUND(2/24*(Gas!J$9+Gas!J$13),2)</f>
        <v/>
      </c>
      <c r="K6" s="244">
        <f>ROUND(2/24*(Gas!K$9+Gas!K$13),2)</f>
        <v/>
      </c>
      <c r="L6" s="244">
        <f>ROUND(2/24*(Gas!L$9+Gas!L$13),2)</f>
        <v/>
      </c>
      <c r="M6" s="244">
        <f>ROUND(2/24*(Gas!M$9+Gas!M$13),2)</f>
        <v/>
      </c>
      <c r="N6" s="244">
        <f>ROUND(2/24*(Gas!N$9+Gas!N$13),2)</f>
        <v/>
      </c>
      <c r="O6" s="244">
        <f>ROUND(2/24*(Gas!O$9+Gas!O$13),2)</f>
        <v/>
      </c>
      <c r="P6" s="217" t="n"/>
    </row>
    <row r="7" spans="1:21">
      <c r="A7" s="148" t="n"/>
      <c r="B7" s="148" t="s">
        <v>10</v>
      </c>
      <c r="C7" s="217">
        <f>Water!C9</f>
        <v/>
      </c>
      <c r="D7" s="217">
        <f>Water!D9</f>
        <v/>
      </c>
      <c r="E7" s="217">
        <f>Water!E9</f>
        <v/>
      </c>
      <c r="F7" s="217">
        <f>Water!F9</f>
        <v/>
      </c>
      <c r="G7" s="217">
        <f>Water!G9</f>
        <v/>
      </c>
      <c r="H7" s="217">
        <f>Water!H9</f>
        <v/>
      </c>
      <c r="I7" s="217">
        <f>Water!I9</f>
        <v/>
      </c>
      <c r="J7" s="217">
        <f>Water!J9</f>
        <v/>
      </c>
      <c r="K7" s="217">
        <f>Water!K9</f>
        <v/>
      </c>
      <c r="L7" s="217">
        <f>Water!L9</f>
        <v/>
      </c>
      <c r="M7" s="217">
        <f>Water!M9</f>
        <v/>
      </c>
      <c r="N7" s="217">
        <f>TRUNC(Water!N9,2)</f>
        <v/>
      </c>
      <c r="O7" s="217">
        <f>TRUNC(SUM(C7:N7), 2)</f>
        <v/>
      </c>
      <c r="P7" s="217" t="n"/>
    </row>
    <row r="8" spans="1:21">
      <c r="A8" s="148" t="n"/>
      <c r="B8" s="148" t="s">
        <v>11</v>
      </c>
      <c r="C8" s="217">
        <f>'Chilled Water'!C8</f>
        <v/>
      </c>
      <c r="D8" s="217">
        <f>'Chilled Water'!D8</f>
        <v/>
      </c>
      <c r="E8" s="217">
        <f>'Chilled Water'!E8</f>
        <v/>
      </c>
      <c r="F8" s="217">
        <f>'Chilled Water'!F8</f>
        <v/>
      </c>
      <c r="G8" s="217">
        <f>'Chilled Water'!G8</f>
        <v/>
      </c>
      <c r="H8" s="217">
        <f>'Chilled Water'!H8</f>
        <v/>
      </c>
      <c r="I8" s="217">
        <f>'Chilled Water'!I8</f>
        <v/>
      </c>
      <c r="J8" s="217">
        <f>'Chilled Water'!J8</f>
        <v/>
      </c>
      <c r="K8" s="217">
        <f>'Chilled Water'!K8</f>
        <v/>
      </c>
      <c r="L8" s="217">
        <f>'Chilled Water'!L8</f>
        <v/>
      </c>
      <c r="M8" s="217">
        <f>'Chilled Water'!M8</f>
        <v/>
      </c>
      <c r="N8" s="217">
        <f>TRUNC('Chilled Water'!N8,2)</f>
        <v/>
      </c>
      <c r="O8" s="217">
        <f>TRUNC(SUM(C8:N8), 2)</f>
        <v/>
      </c>
      <c r="P8" s="217" t="n"/>
    </row>
    <row r="9" spans="1:21">
      <c r="A9" s="148" t="s">
        <v>12</v>
      </c>
      <c r="B9" s="125" t="s">
        <v>7</v>
      </c>
      <c r="C9" s="217">
        <f>Electricity!C12</f>
        <v/>
      </c>
      <c r="D9" s="217">
        <f>Electricity!D12</f>
        <v/>
      </c>
      <c r="E9" s="217">
        <f>Electricity!E12</f>
        <v/>
      </c>
      <c r="F9" s="217">
        <f>Electricity!F12</f>
        <v/>
      </c>
      <c r="G9" s="217">
        <f>Electricity!G12</f>
        <v/>
      </c>
      <c r="H9" s="217">
        <f>Electricity!H12</f>
        <v/>
      </c>
      <c r="I9" s="217">
        <f>Electricity!I12</f>
        <v/>
      </c>
      <c r="J9" s="217">
        <f>Electricity!J12</f>
        <v/>
      </c>
      <c r="K9" s="217">
        <f>Electricity!K12</f>
        <v/>
      </c>
      <c r="L9" s="217">
        <f>Electricity!L12</f>
        <v/>
      </c>
      <c r="M9" s="217">
        <f>Electricity!M12</f>
        <v/>
      </c>
      <c r="N9" s="217">
        <f>TRUNC(Electricity!N12,2)</f>
        <v/>
      </c>
      <c r="O9" s="217">
        <f>TRUNC(SUM(C9:N9), 2)</f>
        <v/>
      </c>
      <c r="P9" s="217" t="n"/>
    </row>
    <row r="10" spans="1:21">
      <c r="A10" s="87" t="n"/>
      <c r="B10" s="152" t="n"/>
      <c r="C10" s="219" t="n"/>
      <c r="D10" s="219" t="n"/>
      <c r="E10" s="219" t="n"/>
      <c r="F10" s="219" t="n"/>
      <c r="G10" s="219" t="n"/>
      <c r="H10" s="219" t="n"/>
      <c r="I10" s="219" t="n"/>
      <c r="J10" s="219" t="n"/>
      <c r="K10" s="219" t="n"/>
      <c r="L10" s="219" t="n"/>
      <c r="M10" s="219" t="n"/>
      <c r="N10" s="219" t="n"/>
      <c r="O10" s="219" t="n"/>
      <c r="P10" s="219" t="n"/>
    </row>
    <row r="11" spans="1:21">
      <c r="A11" s="148" t="n"/>
      <c r="B11" s="148" t="n"/>
      <c r="C11" s="217" t="n"/>
      <c r="D11" s="217" t="n"/>
      <c r="E11" s="217" t="n"/>
      <c r="F11" s="217" t="n"/>
      <c r="G11" s="217" t="n"/>
      <c r="H11" s="217" t="n"/>
      <c r="I11" s="217" t="n"/>
      <c r="J11" s="217" t="n"/>
      <c r="K11" s="217" t="n"/>
      <c r="L11" s="217" t="n"/>
      <c r="M11" s="217" t="n"/>
      <c r="N11" s="217" t="n"/>
      <c r="O11" s="217" t="n"/>
      <c r="P11" s="217" t="n"/>
    </row>
    <row r="12" spans="1:21">
      <c r="A12" s="148" t="n"/>
      <c r="B12" s="125" t="s">
        <v>7</v>
      </c>
      <c r="C12" s="245">
        <f>ROUND(SUM(C5,C9),2)</f>
        <v/>
      </c>
      <c r="D12" s="245">
        <f>ROUND(SUM(D5,D9),2)</f>
        <v/>
      </c>
      <c r="E12" s="245">
        <f>ROUND(SUM(E5,E9),2)</f>
        <v/>
      </c>
      <c r="F12" s="245">
        <f>ROUND(SUM(F5,F9),2)</f>
        <v/>
      </c>
      <c r="G12" s="245">
        <f>ROUND(SUM(G5,G9),2)</f>
        <v/>
      </c>
      <c r="H12" s="245">
        <f>ROUND(SUM(H5,H9),2)</f>
        <v/>
      </c>
      <c r="I12" s="245">
        <f>ROUND(SUM(I5,I9),2)</f>
        <v/>
      </c>
      <c r="J12" s="245">
        <f>ROUND(SUM(J5,J9),2)</f>
        <v/>
      </c>
      <c r="K12" s="245">
        <f>ROUND(SUM(K5,K9),2)</f>
        <v/>
      </c>
      <c r="L12" s="245">
        <f>ROUND(SUM(L5,L9),2)</f>
        <v/>
      </c>
      <c r="M12" s="245">
        <f>ROUND(SUM(M5,M9),2)</f>
        <v/>
      </c>
      <c r="N12" s="245">
        <f>ROUND(SUM(N5,N9),2)</f>
        <v/>
      </c>
      <c r="O12" s="246">
        <f>ROUND(SUM(O5,O9),2)</f>
        <v/>
      </c>
      <c r="P12" s="245">
        <f>SUM(O5,O9)</f>
        <v/>
      </c>
    </row>
    <row r="13" spans="1:21">
      <c r="A13" s="148" t="n"/>
      <c r="B13" s="125" t="s">
        <v>9</v>
      </c>
      <c r="C13" s="245">
        <f>SUM(C6)</f>
        <v/>
      </c>
      <c r="D13" s="245">
        <f>SUM(D6)</f>
        <v/>
      </c>
      <c r="E13" s="245">
        <f>SUM(E6)</f>
        <v/>
      </c>
      <c r="F13" s="245">
        <f>SUM(F6)</f>
        <v/>
      </c>
      <c r="G13" s="245">
        <f>ROUND(SUM(G6),2)</f>
        <v/>
      </c>
      <c r="H13" s="245">
        <f>ROUND(SUM(H6),2)</f>
        <v/>
      </c>
      <c r="I13" s="245">
        <f>ROUND(SUM(I6),2)</f>
        <v/>
      </c>
      <c r="J13" s="245">
        <f>ROUND(SUM(J6),2)</f>
        <v/>
      </c>
      <c r="K13" s="245">
        <f>ROUND(SUM(K6),2)</f>
        <v/>
      </c>
      <c r="L13" s="245">
        <f>ROUND(SUM(L6),2)</f>
        <v/>
      </c>
      <c r="M13" s="245">
        <f>ROUND(SUM(M6),2)</f>
        <v/>
      </c>
      <c r="N13" s="245">
        <f>ROUND(SUM(N6),2)</f>
        <v/>
      </c>
      <c r="O13" s="245">
        <f>ROUND(SUM(O6),2)</f>
        <v/>
      </c>
      <c r="P13" s="245">
        <f>SUM(O6)</f>
        <v/>
      </c>
    </row>
    <row r="14" spans="1:21">
      <c r="A14" s="148" t="n"/>
      <c r="B14" s="148" t="s">
        <v>10</v>
      </c>
      <c r="C14" s="245">
        <f>SUM(C7)</f>
        <v/>
      </c>
      <c r="D14" s="245">
        <f>SUM(D7)</f>
        <v/>
      </c>
      <c r="E14" s="245">
        <f>SUM(E7)</f>
        <v/>
      </c>
      <c r="F14" s="245">
        <f>SUM(F7)</f>
        <v/>
      </c>
      <c r="G14" s="245">
        <f>ROUND(SUM(G7),2)</f>
        <v/>
      </c>
      <c r="H14" s="245">
        <f>ROUND(SUM(H7),2)</f>
        <v/>
      </c>
      <c r="I14" s="245">
        <f>ROUND(SUM(I7),2)</f>
        <v/>
      </c>
      <c r="J14" s="245">
        <f>ROUND(SUM(J7),2)</f>
        <v/>
      </c>
      <c r="K14" s="245">
        <f>ROUND(SUM(K7),2)</f>
        <v/>
      </c>
      <c r="L14" s="245">
        <f>ROUND(SUM(L7),2)</f>
        <v/>
      </c>
      <c r="M14" s="245">
        <f>ROUND(SUM(M7),2)</f>
        <v/>
      </c>
      <c r="N14" s="245">
        <f>ROUND(SUM(N7),2)</f>
        <v/>
      </c>
      <c r="O14" s="246">
        <f>ROUND(SUM(O7),2)</f>
        <v/>
      </c>
      <c r="P14" s="245">
        <f>SUM(O7)</f>
        <v/>
      </c>
    </row>
    <row r="15" spans="1:21">
      <c r="A15" s="148" t="n"/>
      <c r="B15" s="148" t="s">
        <v>11</v>
      </c>
      <c r="C15" s="245">
        <f>SUM(C8)</f>
        <v/>
      </c>
      <c r="D15" s="245">
        <f>SUM(D8)</f>
        <v/>
      </c>
      <c r="E15" s="245">
        <f>SUM(E8)</f>
        <v/>
      </c>
      <c r="F15" s="245">
        <f>SUM(F8)</f>
        <v/>
      </c>
      <c r="G15" s="245">
        <f>ROUND(SUM(G8),2)</f>
        <v/>
      </c>
      <c r="H15" s="245">
        <f>ROUND(SUM(H8),2)</f>
        <v/>
      </c>
      <c r="I15" s="245">
        <f>ROUND(SUM(I8),2)</f>
        <v/>
      </c>
      <c r="J15" s="245">
        <f>ROUND(SUM(J8),2)</f>
        <v/>
      </c>
      <c r="K15" s="245">
        <f>ROUND(SUM(K8),2)</f>
        <v/>
      </c>
      <c r="L15" s="245">
        <f>ROUND(SUM(L8),2)</f>
        <v/>
      </c>
      <c r="M15" s="245">
        <f>ROUND(SUM(M8),2)</f>
        <v/>
      </c>
      <c r="N15" s="245">
        <f>ROUND(SUM(N8),2)</f>
        <v/>
      </c>
      <c r="O15" s="246">
        <f>ROUND(SUM(O8),2)</f>
        <v/>
      </c>
      <c r="P15" s="245">
        <f>SUM(O8)</f>
        <v/>
      </c>
    </row>
    <row r="16" spans="1:21">
      <c r="A16" s="148" t="s">
        <v>1</v>
      </c>
      <c r="B16" s="148" t="n"/>
      <c r="C16" s="245">
        <f>SUM(C12:C15)</f>
        <v/>
      </c>
      <c r="D16" s="245">
        <f>SUM(D12:D15)</f>
        <v/>
      </c>
      <c r="E16" s="245">
        <f>SUM(E12:E15)</f>
        <v/>
      </c>
      <c r="F16" s="245">
        <f>SUM(F12:F15)</f>
        <v/>
      </c>
      <c r="G16" s="247">
        <f>SUM(G12:G15)</f>
        <v/>
      </c>
      <c r="H16" s="245">
        <f>SUM(H12:H15)</f>
        <v/>
      </c>
      <c r="I16" s="245">
        <f>SUM(I12:I15)</f>
        <v/>
      </c>
      <c r="J16" s="245">
        <f>SUM(J12:J15)</f>
        <v/>
      </c>
      <c r="K16" s="245">
        <f>SUM(K12:K15)</f>
        <v/>
      </c>
      <c r="L16" s="246">
        <f>SUM(L12:L15)</f>
        <v/>
      </c>
      <c r="M16" s="246">
        <f>SUM(M12:M15)</f>
        <v/>
      </c>
      <c r="N16" s="246">
        <f>SUM(N12:N15)</f>
        <v/>
      </c>
      <c r="O16" s="246">
        <f>SUM(O12:O15)</f>
        <v/>
      </c>
      <c r="P16" s="245">
        <f>SUM(O5:O9)</f>
        <v/>
      </c>
      <c r="U16" s="148" t="n"/>
    </row>
    <row customHeight="1" ht="12.75" r="17" s="146" spans="1:21">
      <c r="C17" s="248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8" t="n"/>
      <c r="M17" s="248" t="n"/>
      <c r="N17" s="248" t="n"/>
      <c r="O17" s="245" t="n"/>
      <c r="P17" s="248" t="s">
        <v>13</v>
      </c>
      <c r="Q17" s="148" t="n"/>
      <c r="R17" s="148" t="n"/>
    </row>
    <row hidden="1" r="18" s="146" spans="1:21">
      <c r="A18" s="148" t="n"/>
      <c r="B18" s="148" t="n"/>
      <c r="C18" s="248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248" t="n"/>
      <c r="N18" s="250" t="n"/>
      <c r="O18" s="248" t="n"/>
      <c r="P18" s="148" t="n"/>
      <c r="Q18" s="148" t="n"/>
      <c r="R18" s="148" t="n"/>
    </row>
    <row hidden="1" r="19" s="146" spans="1:21">
      <c r="A19" s="148" t="n"/>
      <c r="B19" s="251" t="s">
        <v>14</v>
      </c>
      <c r="C19" s="252">
        <f>C12-Electricity!C15</f>
        <v/>
      </c>
      <c r="D19" s="252">
        <f>D12-Electricity!D15</f>
        <v/>
      </c>
      <c r="E19" s="252">
        <f>E12-Electricity!E15</f>
        <v/>
      </c>
      <c r="F19" s="252">
        <f>F12-Electricity!F15</f>
        <v/>
      </c>
      <c r="G19" s="252">
        <f>G12-Electricity!G15</f>
        <v/>
      </c>
      <c r="H19" s="252">
        <f>H12-Electricity!H15</f>
        <v/>
      </c>
      <c r="I19" s="252">
        <f>I12-Electricity!I15</f>
        <v/>
      </c>
      <c r="J19" s="252">
        <f>J12-Electricity!J15</f>
        <v/>
      </c>
      <c r="K19" s="252">
        <f>K12-Electricity!K15</f>
        <v/>
      </c>
      <c r="L19" s="252">
        <f>L12-Electricity!L15</f>
        <v/>
      </c>
      <c r="M19" s="252">
        <f>M12-Electricity!M15</f>
        <v/>
      </c>
      <c r="N19" s="253">
        <f>N12-Electricity!N15</f>
        <v/>
      </c>
      <c r="O19" s="252" t="n"/>
      <c r="P19" s="148" t="n"/>
      <c r="Q19" s="148" t="n"/>
      <c r="R19" s="148" t="n"/>
    </row>
    <row hidden="1" r="20" s="146" spans="1:21">
      <c r="A20" s="148" t="n"/>
      <c r="B20" s="251" t="s">
        <v>15</v>
      </c>
      <c r="C20" s="252">
        <f>C13-(Gas!C16)</f>
        <v/>
      </c>
      <c r="D20" s="252">
        <f>D13-(Gas!D16)</f>
        <v/>
      </c>
      <c r="E20" s="252">
        <f>E13-(Gas!E16)</f>
        <v/>
      </c>
      <c r="F20" s="252">
        <f>F13-(Gas!F16)</f>
        <v/>
      </c>
      <c r="G20" s="252">
        <f>G13-(Gas!G16)</f>
        <v/>
      </c>
      <c r="H20" s="252">
        <f>H13-(Gas!H16)</f>
        <v/>
      </c>
      <c r="I20" s="252">
        <f>I13-(Gas!I16)</f>
        <v/>
      </c>
      <c r="J20" s="252">
        <f>J13-(Gas!#REF!)</f>
        <v/>
      </c>
      <c r="K20" s="252">
        <f>K13-(Gas!K16)</f>
        <v/>
      </c>
      <c r="L20" s="252">
        <f>L13-(Gas!L16)</f>
        <v/>
      </c>
      <c r="M20" s="252">
        <f>M13-(Gas!M16)</f>
        <v/>
      </c>
      <c r="N20" s="252">
        <f>N13-(Gas!N16)</f>
        <v/>
      </c>
      <c r="O20" s="254" t="n"/>
      <c r="P20" s="148" t="n"/>
      <c r="Q20" s="148" t="n"/>
      <c r="R20" s="148" t="n"/>
    </row>
    <row hidden="1" r="21" s="146" spans="1:21">
      <c r="A21" s="148" t="n"/>
      <c r="B21" s="251" t="s">
        <v>16</v>
      </c>
      <c r="C21" s="252">
        <f>C14-Water!C13</f>
        <v/>
      </c>
      <c r="D21" s="252">
        <f>D14-Water!D13</f>
        <v/>
      </c>
      <c r="E21" s="252">
        <f>E14-Water!E13</f>
        <v/>
      </c>
      <c r="F21" s="252">
        <f>F14-Water!F13</f>
        <v/>
      </c>
      <c r="G21" s="252">
        <f>G14-Water!G13</f>
        <v/>
      </c>
      <c r="H21" s="252">
        <f>H14-Water!H13</f>
        <v/>
      </c>
      <c r="I21" s="252">
        <f>I14-Water!I13</f>
        <v/>
      </c>
      <c r="J21" s="252">
        <f>J14-Water!J13</f>
        <v/>
      </c>
      <c r="K21" s="252">
        <f>K14-Water!K13</f>
        <v/>
      </c>
      <c r="L21" s="252">
        <f>L14-Water!L13</f>
        <v/>
      </c>
      <c r="M21" s="252">
        <f>M14-Water!M13</f>
        <v/>
      </c>
      <c r="N21" s="253">
        <f>N14-Water!N13</f>
        <v/>
      </c>
      <c r="O21" s="252" t="n"/>
      <c r="P21" s="148" t="n"/>
      <c r="Q21" s="148" t="n"/>
      <c r="R21" s="148" t="n"/>
    </row>
    <row hidden="1" r="22" s="146" spans="1:21">
      <c r="A22" s="148" t="n"/>
      <c r="B22" s="251" t="s">
        <v>17</v>
      </c>
      <c r="C22" s="252">
        <f>C15-'Chilled Water'!C13</f>
        <v/>
      </c>
      <c r="D22" s="252">
        <f>D15-'Chilled Water'!D13</f>
        <v/>
      </c>
      <c r="E22" s="252">
        <f>E15-'Chilled Water'!E13</f>
        <v/>
      </c>
      <c r="F22" s="252">
        <f>F15-'Chilled Water'!F13</f>
        <v/>
      </c>
      <c r="G22" s="252">
        <f>G15-'Chilled Water'!G13</f>
        <v/>
      </c>
      <c r="H22" s="252">
        <f>H15-'Chilled Water'!H13</f>
        <v/>
      </c>
      <c r="I22" s="252">
        <f>I15-'Chilled Water'!I13</f>
        <v/>
      </c>
      <c r="J22" s="252">
        <f>J15-'Chilled Water'!J13</f>
        <v/>
      </c>
      <c r="K22" s="252">
        <f>K15-'Chilled Water'!K13</f>
        <v/>
      </c>
      <c r="L22" s="252">
        <f>L15-'Chilled Water'!L13</f>
        <v/>
      </c>
      <c r="M22" s="252">
        <f>M15-'Chilled Water'!M13</f>
        <v/>
      </c>
      <c r="N22" s="253">
        <f>N15-'Chilled Water'!N13</f>
        <v/>
      </c>
      <c r="O22" s="252" t="n"/>
      <c r="P22" s="148" t="n"/>
      <c r="Q22" s="148" t="s">
        <v>18</v>
      </c>
      <c r="R22" s="148" t="n"/>
    </row>
    <row r="23" spans="1:21">
      <c r="A23" s="148" t="n"/>
      <c r="B23" s="148" t="n"/>
      <c r="D23" s="248" t="n"/>
      <c r="E23" s="248" t="n"/>
      <c r="O23" s="248" t="n"/>
      <c r="P23" s="148" t="n"/>
      <c r="Q23" s="148" t="n"/>
      <c r="R23" s="148" t="n"/>
    </row>
    <row r="24" spans="1:21">
      <c r="A24" s="148" t="s">
        <v>19</v>
      </c>
      <c r="B24" s="148" t="n"/>
      <c r="G24" s="248" t="n"/>
      <c r="K24" s="248" t="n"/>
      <c r="P24" s="148" t="n"/>
      <c r="Q24" s="148" t="n"/>
      <c r="R24" s="148" t="s">
        <v>20</v>
      </c>
    </row>
    <row r="25" spans="1:21">
      <c r="A25" s="148" t="s">
        <v>21</v>
      </c>
      <c r="B25" s="148" t="n"/>
      <c r="M25" s="248" t="n"/>
      <c r="N25" s="248" t="n"/>
      <c r="P25" s="148" t="n"/>
      <c r="Q25" s="148" t="n"/>
      <c r="R25" s="148" t="n"/>
    </row>
    <row r="26" spans="1:21">
      <c r="A26" s="124" t="s">
        <v>22</v>
      </c>
      <c r="B26" s="148" t="n"/>
      <c r="P26" s="148" t="n"/>
      <c r="Q26" s="148" t="n"/>
      <c r="R26" s="148" t="n"/>
    </row>
    <row r="27" spans="1:21">
      <c r="A27" s="124" t="s">
        <v>23</v>
      </c>
      <c r="B27" s="148" t="n"/>
      <c r="P27" s="148" t="n"/>
      <c r="Q27" s="148" t="n"/>
      <c r="R27" s="148" t="n"/>
    </row>
    <row r="28" spans="1:21">
      <c r="A28" s="124" t="s">
        <v>24</v>
      </c>
      <c r="B28" s="148" t="n"/>
      <c r="P28" s="148" t="n"/>
      <c r="Q28" s="148" t="n"/>
      <c r="R28" s="148" t="n"/>
    </row>
    <row r="29" spans="1:21">
      <c r="A29" s="124" t="s">
        <v>25</v>
      </c>
      <c r="B29" s="148" t="n"/>
      <c r="P29" s="148" t="n"/>
      <c r="Q29" s="148" t="n"/>
      <c r="R29" s="148" t="n"/>
    </row>
    <row r="30" spans="1:21">
      <c r="A30" s="124" t="s">
        <v>26</v>
      </c>
      <c r="B30" s="148" t="n"/>
      <c r="P30" s="148" t="n"/>
      <c r="Q30" s="148" t="n"/>
      <c r="R30" s="148" t="n"/>
    </row>
    <row r="31" spans="1:21">
      <c r="A31" s="124" t="s">
        <v>27</v>
      </c>
      <c r="B31" s="148" t="n"/>
      <c r="P31" s="148" t="n"/>
      <c r="Q31" s="148" t="n"/>
      <c r="R31" s="148" t="n"/>
    </row>
    <row r="32" spans="1:21">
      <c r="A32" s="124" t="s">
        <v>28</v>
      </c>
      <c r="B32" s="148" t="n"/>
      <c r="P32" s="148" t="n"/>
      <c r="Q32" s="148" t="n"/>
      <c r="R32" s="148" t="n"/>
    </row>
    <row r="33" spans="1:21">
      <c r="A33" s="124" t="s">
        <v>29</v>
      </c>
    </row>
    <row r="34" spans="1:21">
      <c r="A34" s="124" t="s">
        <v>30</v>
      </c>
    </row>
    <row r="35" spans="1:21">
      <c r="A35" s="148" t="s">
        <v>31</v>
      </c>
    </row>
    <row r="36" spans="1:21">
      <c r="A36" s="148" t="n"/>
    </row>
    <row r="54" spans="1:21">
      <c r="P54" s="148" t="n"/>
    </row>
    <row r="55" spans="1:21">
      <c r="P55" s="148" t="n"/>
    </row>
    <row r="56" spans="1:21">
      <c r="P56" s="148" t="n"/>
    </row>
    <row r="57" spans="1:21">
      <c r="P57" s="148" t="n"/>
    </row>
    <row r="58" spans="1:21">
      <c r="P58" s="148" t="n"/>
    </row>
    <row r="59" spans="1:21">
      <c r="P59" s="148" t="n"/>
    </row>
    <row r="60" spans="1:21">
      <c r="P60" s="148" t="n"/>
    </row>
    <row r="61" spans="1:21">
      <c r="P61" s="148" t="n"/>
    </row>
    <row r="62" spans="1:21">
      <c r="P62" s="148" t="n"/>
    </row>
    <row r="63" spans="1:21">
      <c r="P63" s="148" t="n"/>
    </row>
    <row r="64" spans="1:21">
      <c r="P64" s="148" t="n"/>
    </row>
    <row r="65" spans="1:21">
      <c r="P65" s="248" t="n"/>
      <c r="Q65" s="248" t="n"/>
    </row>
    <row r="66" spans="1:21">
      <c r="P66" s="248" t="n"/>
      <c r="Q66" s="148" t="n"/>
    </row>
    <row r="67" spans="1:21">
      <c r="P67" s="248" t="n"/>
      <c r="Q67" s="148" t="n"/>
    </row>
    <row r="68" spans="1:21">
      <c r="P68" s="248" t="n"/>
      <c r="Q68" s="248" t="n"/>
    </row>
    <row r="69" spans="1:21">
      <c r="P69" s="248" t="n"/>
      <c r="Q69" s="148" t="n"/>
    </row>
    <row r="70" spans="1:21">
      <c r="P70" s="248" t="n"/>
      <c r="Q70" s="148" t="n"/>
    </row>
    <row r="72" spans="1:21">
      <c r="P72" s="248" t="n"/>
      <c r="Q72" s="148" t="n"/>
    </row>
    <row r="74" spans="1:21">
      <c r="P74" s="248" t="n"/>
      <c r="Q74" s="248" t="n"/>
    </row>
    <row r="75" spans="1:21">
      <c r="P75" s="248" t="n"/>
      <c r="Q75" s="248" t="n"/>
    </row>
    <row r="76" spans="1:21">
      <c r="P76" s="248" t="n"/>
      <c r="Q76" s="248" t="n"/>
    </row>
    <row r="77" spans="1:21">
      <c r="P77" s="248" t="n"/>
      <c r="Q77" s="248" t="n"/>
    </row>
  </sheetData>
  <printOptions horizontalCentered="1"/>
  <pageMargins bottom="0.5" footer="0.5" header="0.5" left="0" right="0" top="0.5"/>
  <pageSetup fitToWidth="0" orientation="landscape" scale="11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X66"/>
  <sheetViews>
    <sheetView workbookViewId="0" zoomScale="110" zoomScaleNormal="110">
      <pane activePane="topRight" state="frozen" topLeftCell="D1" xSplit="1"/>
      <selection activeCell="S12" pane="topRight" sqref="S12"/>
    </sheetView>
  </sheetViews>
  <sheetFormatPr baseColWidth="8" defaultColWidth="9.140625" defaultRowHeight="11.25" outlineLevelCol="0"/>
  <cols>
    <col customWidth="1" max="1" min="1" style="148" width="22"/>
    <col customWidth="1" max="2" min="2" style="148" width="11"/>
    <col customWidth="1" max="3" min="3" style="148" width="9.140625"/>
    <col customWidth="1" hidden="1" max="4" min="4" style="148" width="9"/>
    <col customWidth="1" hidden="1" max="5" min="5" style="148" width="11.5703125"/>
    <col customWidth="1" hidden="1" max="6" min="6" style="148" width="10.140625"/>
    <col customWidth="1" hidden="1" max="7" min="7" style="148" width="11.85546875"/>
    <col customWidth="1" hidden="1" max="8" min="8" style="148" width="9.140625"/>
    <col customWidth="1" hidden="1" max="9" min="9" style="148" width="10"/>
    <col bestFit="1" customWidth="1" max="10" min="10" style="148" width="10.85546875"/>
    <col customWidth="1" hidden="1" max="11" min="11" style="148" width="10"/>
    <col customWidth="1" hidden="1" max="13" min="12" style="148" width="10"/>
    <col customWidth="1" hidden="1" max="14" min="14" style="148" width="11.85546875"/>
    <col customWidth="1" hidden="1" max="15" min="15" style="148" width="9"/>
    <col customWidth="1" hidden="1" max="16" min="16" style="148" width="10.85546875"/>
    <col customWidth="1" max="17" min="17" style="148" width="10.42578125"/>
    <col customWidth="1" max="22" min="18" style="148" width="9.140625"/>
    <col customWidth="1" max="16384" min="23" style="148" width="9.140625"/>
  </cols>
  <sheetData>
    <row r="1" spans="1:24">
      <c r="A1" s="162" t="s">
        <v>7</v>
      </c>
      <c r="C1" s="148" t="n"/>
      <c r="D1" s="148" t="n"/>
      <c r="E1" s="148" t="n"/>
      <c r="N1" s="148" t="n"/>
    </row>
    <row r="2" spans="1:24">
      <c r="C2" s="148" t="n"/>
      <c r="D2" s="148" t="n"/>
      <c r="E2" s="148" t="n"/>
      <c r="J2" s="148" t="n"/>
      <c r="K2" s="148" t="n"/>
    </row>
    <row r="3" spans="1:24">
      <c r="A3" s="106" t="s">
        <v>3</v>
      </c>
      <c r="B3" s="106" t="s">
        <v>4</v>
      </c>
      <c r="C3" s="255">
        <f>'Utility Summary'!C3</f>
        <v/>
      </c>
      <c r="D3" s="255">
        <f>'Utility Summary'!D3</f>
        <v/>
      </c>
      <c r="E3" s="255">
        <f>'Utility Summary'!E3</f>
        <v/>
      </c>
      <c r="F3" s="255">
        <f>'Utility Summary'!F3</f>
        <v/>
      </c>
      <c r="G3" s="255">
        <f>'Utility Summary'!G3</f>
        <v/>
      </c>
      <c r="H3" s="255">
        <f>'Utility Summary'!H3</f>
        <v/>
      </c>
      <c r="I3" s="255">
        <f>'Utility Summary'!I3</f>
        <v/>
      </c>
      <c r="J3" s="255">
        <f>'Utility Summary'!J3</f>
        <v/>
      </c>
      <c r="K3" s="255">
        <f>'Utility Summary'!K3</f>
        <v/>
      </c>
      <c r="L3" s="255">
        <f>'Utility Summary'!L3</f>
        <v/>
      </c>
      <c r="M3" s="255">
        <f>'Utility Summary'!M3</f>
        <v/>
      </c>
      <c r="N3" s="256">
        <f>'Utility Summary'!N3</f>
        <v/>
      </c>
      <c r="O3" s="255" t="s">
        <v>1</v>
      </c>
      <c r="P3" s="110" t="s">
        <v>5</v>
      </c>
    </row>
    <row customFormat="1" r="4" s="257" spans="1:24">
      <c r="A4" s="257" t="n"/>
      <c r="B4" s="258" t="s">
        <v>32</v>
      </c>
      <c r="C4" s="257" t="n">
        <v>42950</v>
      </c>
      <c r="D4" s="257" t="n">
        <v>42981</v>
      </c>
      <c r="E4" s="257" t="n">
        <v>43009</v>
      </c>
      <c r="F4" s="257" t="n">
        <v>43040</v>
      </c>
      <c r="G4" s="257" t="n">
        <v>43070</v>
      </c>
      <c r="H4" s="257" t="n">
        <v>42736</v>
      </c>
      <c r="I4" s="257" t="n">
        <v>43132</v>
      </c>
      <c r="J4" s="257" t="n">
        <v>43161</v>
      </c>
      <c r="K4" s="257" t="n">
        <v>42826</v>
      </c>
      <c r="L4" s="257" t="n">
        <v>42859</v>
      </c>
      <c r="M4" s="257" t="n">
        <v>42887</v>
      </c>
      <c r="N4" s="259" t="n">
        <v>42917</v>
      </c>
      <c r="O4" s="257" t="n"/>
      <c r="P4" s="111" t="n"/>
      <c r="Q4" s="257" t="n"/>
    </row>
    <row customFormat="1" customHeight="1" ht="22.5" r="5" s="89" spans="1:24">
      <c r="A5" s="70" t="n"/>
      <c r="B5" s="112" t="s">
        <v>33</v>
      </c>
      <c r="C5" s="260">
        <f>(126961.92+159448.01+1556.39+39787.05)/(1912930+0+266705)</f>
        <v/>
      </c>
      <c r="D5" s="261">
        <f>(139749+177842.04+1457.83+34522.94)/(1974066+0+231418)</f>
        <v/>
      </c>
      <c r="E5" s="260">
        <f>(185076.27+1457.83+134966.15+29901.04)/(2094283+0+200436)</f>
        <v/>
      </c>
      <c r="F5" s="261">
        <f>(149298.66+1507.11+119543.93+30874.59)/(1633178+0+206962)</f>
        <v/>
      </c>
      <c r="G5" s="261">
        <f>(110625.2+127231.05+1367.15+19692.82)/(1619564+0+128787)</f>
        <v/>
      </c>
      <c r="H5" s="261">
        <f>(119751.42+21491.19+1408.55+103923)/(1575343+140548)</f>
        <v/>
      </c>
      <c r="I5" s="262">
        <f>(114810.28+126949.47+14854.14+1506.62)/(1684658+97143)</f>
        <v/>
      </c>
      <c r="J5" s="263">
        <f>(113103.55+28873.02+28325.35+126543.13)/(1654490+5411+185242)</f>
        <v/>
      </c>
      <c r="K5" s="261">
        <f>(113103.55+28873.02+28325.35+126543.13)/(1654490+5411+185242)</f>
        <v/>
      </c>
      <c r="L5" s="261">
        <f> (101737.28 +92666.43+ 32632.08 +74577.2)/(1107699+399808+218743)</f>
        <v/>
      </c>
      <c r="M5" s="261">
        <f> (95190.12+56649.87+144861.44+39533.15)/(3593+1453945+265003)</f>
        <v/>
      </c>
      <c r="N5" s="264">
        <f>(102448.54 +153176.22+69411.98+39533.15)/(1537175+77431+265003)</f>
        <v/>
      </c>
      <c r="O5" s="261" t="n"/>
      <c r="P5" s="112" t="n"/>
      <c r="R5" s="148" t="n"/>
    </row>
    <row customFormat="1" r="6" s="148" spans="1:24">
      <c r="A6" s="106" t="n"/>
      <c r="B6" s="106" t="n"/>
      <c r="C6" s="106" t="n"/>
      <c r="D6" s="106" t="n"/>
      <c r="E6" s="106" t="n"/>
      <c r="F6" s="106" t="n"/>
      <c r="G6" s="106" t="n"/>
      <c r="H6" s="106" t="n"/>
      <c r="I6" s="106" t="n"/>
      <c r="J6" s="106" t="n"/>
      <c r="K6" s="106" t="n"/>
      <c r="L6" s="106" t="n"/>
      <c r="M6" s="106" t="n"/>
      <c r="N6" s="178" t="n"/>
      <c r="O6" s="106" t="n"/>
    </row>
    <row customHeight="1" ht="22.5" r="7" s="146" spans="1:24">
      <c r="A7" s="148" t="s">
        <v>6</v>
      </c>
      <c r="B7" s="125" t="s">
        <v>34</v>
      </c>
      <c r="C7" s="224" t="n"/>
      <c r="D7" s="224" t="n"/>
      <c r="E7" s="224" t="n"/>
      <c r="F7" s="224" t="n"/>
      <c r="G7" s="224" t="n"/>
      <c r="H7" s="224" t="n"/>
      <c r="I7" s="224" t="n"/>
      <c r="J7" s="224" t="n"/>
      <c r="K7" s="224" t="n"/>
      <c r="L7" s="224" t="n"/>
      <c r="M7" s="224" t="n"/>
      <c r="N7" s="179" t="n"/>
      <c r="O7" s="224" t="n"/>
      <c r="R7" s="148" t="n"/>
    </row>
    <row r="8" spans="1:24">
      <c r="A8" s="148" t="s">
        <v>35</v>
      </c>
      <c r="B8" s="125" t="s">
        <v>36</v>
      </c>
      <c r="C8" s="224">
        <f>16542/(2976/2976)</f>
        <v/>
      </c>
      <c r="D8" s="224">
        <f>21169.5/(2975/2976)</f>
        <v/>
      </c>
      <c r="E8" s="224">
        <f>23815.5/(2880/2880)</f>
        <v/>
      </c>
      <c r="F8" s="224">
        <f>22953/(2970/2976)</f>
        <v/>
      </c>
      <c r="G8" s="224">
        <f>19692/(2879/2880)</f>
        <v/>
      </c>
      <c r="H8" s="224">
        <f>14643/(2706/2976)</f>
        <v/>
      </c>
      <c r="I8" s="224">
        <f>2719.5/(361/2976)</f>
        <v/>
      </c>
      <c r="J8" s="224">
        <f>559.5/(96/2976)</f>
        <v/>
      </c>
      <c r="K8" s="224">
        <f>559.5/(96/2976)</f>
        <v/>
      </c>
      <c r="L8" s="224">
        <f>19732.5/(2615/2880)</f>
        <v/>
      </c>
      <c r="M8" s="224">
        <f>16885.5/(2797/2976)</f>
        <v/>
      </c>
      <c r="N8" s="179">
        <f>11638.5/(2162/2880)</f>
        <v/>
      </c>
      <c r="O8" s="224">
        <f>SUM(C8:N8)</f>
        <v/>
      </c>
      <c r="P8" s="257" t="n"/>
      <c r="Q8" s="257" t="n"/>
      <c r="R8" s="108" t="n"/>
    </row>
    <row r="9" spans="1:24">
      <c r="A9" s="148" t="n"/>
      <c r="B9" s="148" t="s">
        <v>37</v>
      </c>
      <c r="C9" s="245">
        <f>ROUND(C$5*C8,2)</f>
        <v/>
      </c>
      <c r="D9" s="245">
        <f>ROUND(D$5*D8,2)</f>
        <v/>
      </c>
      <c r="E9" s="245">
        <f>ROUND(E$5*E8,2)</f>
        <v/>
      </c>
      <c r="F9" s="245">
        <f>ROUND(F$5*F8,2)</f>
        <v/>
      </c>
      <c r="G9" s="245">
        <f>ROUND(G$5*G8,2)</f>
        <v/>
      </c>
      <c r="H9" s="245">
        <f>ROUND(H$5*H8,2)</f>
        <v/>
      </c>
      <c r="I9" s="245">
        <f>ROUND(I$5*I8,2)</f>
        <v/>
      </c>
      <c r="J9" s="245">
        <f>ROUND(J$5*J8,2)</f>
        <v/>
      </c>
      <c r="K9" s="245">
        <f>ROUND(K$5*K8,2)</f>
        <v/>
      </c>
      <c r="L9" s="245">
        <f>ROUND(L$5*L8,2)</f>
        <v/>
      </c>
      <c r="M9" s="245">
        <f>ROUND(M$5*M8,2)</f>
        <v/>
      </c>
      <c r="N9" s="265">
        <f>ROUND(N$5*N8,2)</f>
        <v/>
      </c>
      <c r="O9" s="245">
        <f>SUM(C9:N9)</f>
        <v/>
      </c>
      <c r="P9" s="257" t="n"/>
      <c r="Q9" s="257" t="n"/>
      <c r="R9" s="108" t="n"/>
    </row>
    <row r="10" spans="1:24">
      <c r="A10" s="148" t="n"/>
      <c r="B10" s="148" t="n"/>
      <c r="C10" s="245" t="n"/>
      <c r="D10" s="245" t="n"/>
      <c r="E10" s="245" t="n"/>
      <c r="F10" s="245" t="n"/>
      <c r="G10" s="245" t="n"/>
      <c r="H10" s="245" t="n"/>
      <c r="I10" s="245" t="n"/>
      <c r="J10" s="245" t="n"/>
      <c r="K10" s="245" t="n"/>
      <c r="L10" s="245" t="n"/>
      <c r="M10" s="245" t="n"/>
      <c r="N10" s="265" t="n"/>
      <c r="O10" s="245" t="n"/>
      <c r="P10" s="257" t="n"/>
      <c r="Q10" s="257" t="n"/>
      <c r="R10" s="108" t="n"/>
      <c r="X10" s="222" t="n"/>
    </row>
    <row customHeight="1" ht="10.5" r="11" s="146" spans="1:24">
      <c r="A11" s="148" t="s">
        <v>38</v>
      </c>
      <c r="B11" s="125" t="s">
        <v>36</v>
      </c>
      <c r="C11" s="224">
        <f>33321.927/(2256/2976)</f>
        <v/>
      </c>
      <c r="D11" s="224">
        <f>59663.4407/(2880/2880)</f>
        <v/>
      </c>
      <c r="E11" s="224">
        <f>59663.44/(2880/2880)</f>
        <v/>
      </c>
      <c r="F11" s="224">
        <f>43895.466/(2308/2976)</f>
        <v/>
      </c>
      <c r="G11" s="224">
        <f>48963.1515636444/(2879/2880)</f>
        <v/>
      </c>
      <c r="H11" s="224">
        <f>36282.217/(2706/2976)</f>
        <v/>
      </c>
      <c r="I11" s="224">
        <f>7590.84/(361/2976)</f>
        <v/>
      </c>
      <c r="J11" s="224">
        <f>48701.7226710319/(2955/2976)</f>
        <v/>
      </c>
      <c r="K11" s="224">
        <f>48701.7226710319/(2955/2976)</f>
        <v/>
      </c>
      <c r="L11" s="224">
        <f>55774.03/(2792/2880)</f>
        <v/>
      </c>
      <c r="M11" s="224">
        <f>39268.2/(2922/2976)</f>
        <v/>
      </c>
      <c r="N11" s="179">
        <f>5699.155/(481/2880)</f>
        <v/>
      </c>
      <c r="O11" s="224">
        <f>SUM(C12:N12)</f>
        <v/>
      </c>
      <c r="P11" s="257" t="n"/>
      <c r="Q11" s="257" t="n"/>
      <c r="R11" s="108" t="n"/>
      <c r="X11" s="222" t="n"/>
    </row>
    <row r="12" spans="1:24">
      <c r="A12" s="148" t="n"/>
      <c r="B12" s="148" t="s">
        <v>37</v>
      </c>
      <c r="C12" s="245">
        <f>ROUND(C$5*C11,2)</f>
        <v/>
      </c>
      <c r="D12" s="245">
        <f>ROUND(D$5*D11,2)</f>
        <v/>
      </c>
      <c r="E12" s="245">
        <f>ROUND(E$5*E11,2)</f>
        <v/>
      </c>
      <c r="F12" s="245">
        <f>ROUND(F$5*F11,2)</f>
        <v/>
      </c>
      <c r="G12" s="245">
        <f>ROUND(G$5*G11,2)</f>
        <v/>
      </c>
      <c r="H12" s="245">
        <f>ROUND(H$5*H11,2)</f>
        <v/>
      </c>
      <c r="I12" s="245">
        <f>ROUND(I$5*I11,2)</f>
        <v/>
      </c>
      <c r="J12" s="245">
        <f>ROUND(J$5*J11,2)</f>
        <v/>
      </c>
      <c r="K12" s="245">
        <f>ROUND(K$5*K11,2)</f>
        <v/>
      </c>
      <c r="L12" s="245">
        <f>ROUND(L$5*L11,2)</f>
        <v/>
      </c>
      <c r="M12" s="245">
        <f>ROUND(M$5*M11,2)</f>
        <v/>
      </c>
      <c r="N12" s="265">
        <f>ROUND(N$5*N11,2)</f>
        <v/>
      </c>
      <c r="O12" s="245">
        <f>SUM(C13:N13)</f>
        <v/>
      </c>
      <c r="Q12" s="257" t="n"/>
      <c r="R12" s="108" t="n"/>
    </row>
    <row r="13" spans="1:24">
      <c r="A13" s="87" t="n"/>
      <c r="B13" s="87" t="n"/>
      <c r="C13" s="266" t="n"/>
      <c r="D13" s="266" t="n"/>
      <c r="E13" s="266" t="n"/>
      <c r="F13" s="266" t="n"/>
      <c r="G13" s="266" t="n"/>
      <c r="H13" s="266" t="n"/>
      <c r="I13" s="266" t="n"/>
      <c r="J13" s="266" t="n"/>
      <c r="K13" s="266" t="n"/>
      <c r="L13" s="266" t="n"/>
      <c r="M13" s="266" t="n"/>
      <c r="N13" s="267" t="n"/>
      <c r="O13" s="266" t="n"/>
      <c r="P13" s="87" t="n"/>
    </row>
    <row r="14" spans="1:24">
      <c r="A14" s="148" t="s">
        <v>39</v>
      </c>
      <c r="B14" s="148" t="n"/>
      <c r="C14" s="224">
        <f>SUM(C8,C11)</f>
        <v/>
      </c>
      <c r="D14" s="224">
        <f>SUM(D8,D11)</f>
        <v/>
      </c>
      <c r="E14" s="224">
        <f>SUM(E8,E11)</f>
        <v/>
      </c>
      <c r="F14" s="224">
        <f>SUM(F8,F11)</f>
        <v/>
      </c>
      <c r="G14" s="224">
        <f>SUM(G8,G11)</f>
        <v/>
      </c>
      <c r="H14" s="224">
        <f>SUM(H8,H11)</f>
        <v/>
      </c>
      <c r="I14" s="224">
        <f>SUM(I8,I11)</f>
        <v/>
      </c>
      <c r="J14" s="224">
        <f>SUM(J8,J11)</f>
        <v/>
      </c>
      <c r="K14" s="224">
        <f>SUM(K8,K11)</f>
        <v/>
      </c>
      <c r="L14" s="224">
        <f>SUM(L8,L11)</f>
        <v/>
      </c>
      <c r="M14" s="224">
        <f>SUM(M8,M11)</f>
        <v/>
      </c>
      <c r="N14" s="179">
        <f>SUM(N8,N11)</f>
        <v/>
      </c>
      <c r="O14" s="224">
        <f>SUM(O8,O11)</f>
        <v/>
      </c>
      <c r="P14" s="224">
        <f>SUM(C14:N14)</f>
        <v/>
      </c>
    </row>
    <row r="15" spans="1:24">
      <c r="A15" s="148" t="s">
        <v>40</v>
      </c>
      <c r="C15" s="268">
        <f>SUM(C9,C12)</f>
        <v/>
      </c>
      <c r="D15" s="247">
        <f>SUM(D9,D12)</f>
        <v/>
      </c>
      <c r="E15" s="268">
        <f>SUM(E9,E12)</f>
        <v/>
      </c>
      <c r="F15" s="268">
        <f>SUM(F9,F12)</f>
        <v/>
      </c>
      <c r="G15" s="268">
        <f>SUM(G9,G12)</f>
        <v/>
      </c>
      <c r="H15" s="268">
        <f>SUM(H9,H12)</f>
        <v/>
      </c>
      <c r="I15" s="268">
        <f>SUM(I9,I12)</f>
        <v/>
      </c>
      <c r="J15" s="268">
        <f>SUM(J9,J12)</f>
        <v/>
      </c>
      <c r="K15" s="268">
        <f>SUM(K9,K12)</f>
        <v/>
      </c>
      <c r="L15" s="268">
        <f>SUM(L9,L12)</f>
        <v/>
      </c>
      <c r="M15" s="247">
        <f>SUM(M9,M12)</f>
        <v/>
      </c>
      <c r="N15" s="269">
        <f>SUM(N9,N12)</f>
        <v/>
      </c>
      <c r="O15" s="247">
        <f>TRUNC(SUM(O9,O12),2)</f>
        <v/>
      </c>
      <c r="P15" s="268">
        <f>TRUNC(SUM(C15:N15),2)</f>
        <v/>
      </c>
    </row>
    <row r="16" spans="1:24">
      <c r="D16" s="270" t="n"/>
    </row>
    <row r="17" spans="1:24">
      <c r="A17" s="124" t="s">
        <v>19</v>
      </c>
      <c r="I17" s="148" t="s">
        <v>18</v>
      </c>
      <c r="J17" s="148" t="n"/>
    </row>
    <row r="18" spans="1:24">
      <c r="A18" s="124" t="s">
        <v>41</v>
      </c>
    </row>
    <row r="19" spans="1:24">
      <c r="A19" s="148" t="s">
        <v>42</v>
      </c>
    </row>
    <row r="23" spans="1:24">
      <c r="G23" s="148" t="n"/>
      <c r="H23" s="148" t="n"/>
      <c r="K23" s="148" t="n"/>
      <c r="L23" s="148" t="n"/>
      <c r="M23" s="148" t="n"/>
      <c r="N23" s="148" t="n"/>
    </row>
    <row r="24" spans="1:24">
      <c r="J24" s="148" t="n"/>
    </row>
    <row customFormat="1" r="66" s="148" spans="1:24">
      <c r="A66" s="148" t="n"/>
      <c r="B66" s="148" t="n"/>
      <c r="J66" s="148" t="n"/>
      <c r="K66" s="148" t="n"/>
      <c r="O66" s="148" t="n"/>
      <c r="P66" s="148" t="n"/>
    </row>
  </sheetData>
  <printOptions horizontalCentered="1" verticalCentered="1"/>
  <pageMargins bottom="0.5" footer="0.5" header="0.5" left="0" right="0" top="0.5"/>
  <pageSetup orientation="landscape" scale="7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R40"/>
  <sheetViews>
    <sheetView workbookViewId="0" zoomScaleNormal="100">
      <pane activePane="topRight" state="frozen" topLeftCell="B1" xSplit="1"/>
      <selection activeCell="S12" pane="topRight" sqref="S12"/>
    </sheetView>
  </sheetViews>
  <sheetFormatPr baseColWidth="8" defaultColWidth="10.7109375" defaultRowHeight="12.75" outlineLevelCol="0"/>
  <cols>
    <col customWidth="1" max="1" min="1" style="205" width="17.5703125"/>
    <col customWidth="1" max="2" min="2" style="205" width="11.28515625"/>
    <col customWidth="1" hidden="1" max="3" min="3" style="205" width="6.85546875"/>
    <col customWidth="1" hidden="1" max="4" min="4" style="205" width="12"/>
    <col customWidth="1" hidden="1" max="5" min="5" style="138" width="10.140625"/>
    <col customWidth="1" hidden="1" max="6" min="6" style="205" width="9.140625"/>
    <col customWidth="1" hidden="1" max="7" min="7" style="205" width="10"/>
    <col customWidth="1" hidden="1" max="8" min="8" style="205" width="7.85546875"/>
    <col customWidth="1" hidden="1" max="9" min="9" style="205" width="10"/>
    <col customWidth="1" max="10" min="10" style="205" width="10"/>
    <col customWidth="1" hidden="1" max="12" min="11" style="205" width="9.140625"/>
    <col customWidth="1" hidden="1" max="13" min="13" style="205" width="7.85546875"/>
    <col customWidth="1" hidden="1" max="14" min="14" style="205" width="10.140625"/>
    <col customWidth="1" hidden="1" max="15" min="15" style="205" width="10.42578125"/>
    <col customWidth="1" hidden="1" max="16" min="16" style="205" width="5.7109375"/>
    <col customWidth="1" hidden="1" max="17" min="17" style="205" width="10.7109375"/>
    <col customWidth="1" max="18" min="18" style="205" width="10.7109375"/>
    <col customWidth="1" max="16384" min="19" style="205" width="10.7109375"/>
  </cols>
  <sheetData>
    <row customHeight="1" ht="15.75" r="1" s="146" spans="1:18">
      <c r="A1" s="30" t="s">
        <v>43</v>
      </c>
      <c r="C1" s="205" t="n"/>
      <c r="D1" s="205" t="n"/>
      <c r="F1" s="205" t="n"/>
      <c r="H1" s="205" t="n"/>
      <c r="I1" s="205" t="n"/>
      <c r="Q1" s="212" t="n"/>
    </row>
    <row r="2" spans="1:18">
      <c r="C2" s="205" t="n"/>
      <c r="D2" s="205" t="n"/>
      <c r="E2" s="205" t="n"/>
      <c r="F2" s="205" t="n"/>
      <c r="G2" s="205" t="n"/>
      <c r="H2" s="232" t="n"/>
      <c r="I2" s="205" t="n"/>
      <c r="J2" s="205" t="n"/>
    </row>
    <row customFormat="1" customHeight="1" ht="11.25" r="3" s="111" spans="1:18">
      <c r="A3" s="76" t="s">
        <v>3</v>
      </c>
      <c r="B3" s="155" t="s">
        <v>4</v>
      </c>
      <c r="C3" s="271">
        <f>'Utility Summary'!C3</f>
        <v/>
      </c>
      <c r="D3" s="271">
        <f>'Utility Summary'!D3</f>
        <v/>
      </c>
      <c r="E3" s="271">
        <f>'Utility Summary'!E3</f>
        <v/>
      </c>
      <c r="F3" s="271">
        <f>'Utility Summary'!F3</f>
        <v/>
      </c>
      <c r="G3" s="271">
        <f>'Utility Summary'!G3</f>
        <v/>
      </c>
      <c r="H3" s="271">
        <f>'Utility Summary'!H3</f>
        <v/>
      </c>
      <c r="I3" s="271">
        <f>'Utility Summary'!I3</f>
        <v/>
      </c>
      <c r="J3" s="271">
        <f>'Utility Summary'!J3</f>
        <v/>
      </c>
      <c r="K3" s="271">
        <f>'Utility Summary'!K3</f>
        <v/>
      </c>
      <c r="L3" s="271">
        <f>'Utility Summary'!L3</f>
        <v/>
      </c>
      <c r="M3" s="271">
        <f>'Utility Summary'!M3</f>
        <v/>
      </c>
      <c r="N3" s="271">
        <f>'Utility Summary'!N3</f>
        <v/>
      </c>
      <c r="O3" s="135" t="s">
        <v>1</v>
      </c>
      <c r="P3" s="110" t="s">
        <v>5</v>
      </c>
    </row>
    <row customFormat="1" customHeight="1" ht="12.75" r="4" s="111" spans="1:18">
      <c r="A4" s="111" t="n"/>
      <c r="B4" s="258" t="s">
        <v>32</v>
      </c>
      <c r="C4" s="257">
        <f>Electricity!C4</f>
        <v/>
      </c>
      <c r="D4" s="257">
        <f>Electricity!D4</f>
        <v/>
      </c>
      <c r="E4" s="257">
        <f>Electricity!E4</f>
        <v/>
      </c>
      <c r="F4" s="257">
        <f>Electricity!F4</f>
        <v/>
      </c>
      <c r="G4" s="272">
        <f>Electricity!G4</f>
        <v/>
      </c>
      <c r="H4" s="272">
        <f>Electricity!H4</f>
        <v/>
      </c>
      <c r="I4" s="272">
        <f>Electricity!I4</f>
        <v/>
      </c>
      <c r="J4" s="272">
        <f>Electricity!J4</f>
        <v/>
      </c>
      <c r="K4" s="272">
        <f>Electricity!K4</f>
        <v/>
      </c>
      <c r="L4" s="272">
        <f>Electricity!L4</f>
        <v/>
      </c>
      <c r="M4" s="272">
        <f>Electricity!M4</f>
        <v/>
      </c>
      <c r="N4" s="272">
        <f>Electricity!N4</f>
        <v/>
      </c>
      <c r="O4" s="128" t="n"/>
      <c r="P4" s="111" t="n"/>
    </row>
    <row customFormat="1" customHeight="1" ht="22.5" r="5" s="111" spans="1:18">
      <c r="A5" s="79" t="n"/>
      <c r="B5" s="112" t="s">
        <v>44</v>
      </c>
      <c r="C5" s="261">
        <f>16295.37/20984</f>
        <v/>
      </c>
      <c r="D5" s="273">
        <f>17365.53/22289</f>
        <v/>
      </c>
      <c r="E5" s="273">
        <f>21043.38/29492</f>
        <v/>
      </c>
      <c r="F5" s="274">
        <f>27676.8/37161</f>
        <v/>
      </c>
      <c r="G5" s="274">
        <f>42739.52/51638</f>
        <v/>
      </c>
      <c r="H5" s="274">
        <f>69858.14/81976</f>
        <v/>
      </c>
      <c r="I5" s="274">
        <f>83220.82/94904</f>
        <v/>
      </c>
      <c r="J5" s="274">
        <f>67910.85/74496</f>
        <v/>
      </c>
      <c r="K5" s="274">
        <f>49386.98/55634</f>
        <v/>
      </c>
      <c r="L5" s="274">
        <f>46320.12/55185</f>
        <v/>
      </c>
      <c r="M5" s="274">
        <f>24646.85/29498</f>
        <v/>
      </c>
      <c r="N5" s="274">
        <f>16078.41/18907</f>
        <v/>
      </c>
      <c r="O5" s="129" t="n"/>
      <c r="P5" s="112" t="n"/>
    </row>
    <row customFormat="1" customHeight="1" ht="11.25" r="6" s="111" spans="1:18">
      <c r="A6" s="76" t="n"/>
      <c r="B6" s="155" t="n"/>
      <c r="C6" s="155" t="n"/>
      <c r="D6" s="155" t="s">
        <v>13</v>
      </c>
      <c r="E6" s="110" t="n"/>
      <c r="F6" s="155" t="n"/>
      <c r="G6" s="155" t="n"/>
      <c r="H6" s="155" t="n"/>
      <c r="I6" s="155" t="n"/>
      <c r="J6" s="155" t="n"/>
      <c r="K6" s="155" t="n"/>
      <c r="L6" s="155" t="n"/>
      <c r="M6" s="155" t="n"/>
      <c r="N6" s="155" t="n"/>
      <c r="O6" s="130" t="n"/>
    </row>
    <row customFormat="1" customHeight="1" ht="24" r="7" s="111" spans="1:18">
      <c r="A7" s="215" t="s">
        <v>45</v>
      </c>
      <c r="B7" s="111" t="s">
        <v>46</v>
      </c>
      <c r="C7" s="209">
        <f>56099</f>
        <v/>
      </c>
      <c r="D7" s="157" t="n">
        <v>57677</v>
      </c>
      <c r="E7" s="156" t="n">
        <v>60444</v>
      </c>
      <c r="F7" s="122" t="n">
        <v>63416</v>
      </c>
      <c r="G7" s="157" t="n">
        <v>67246</v>
      </c>
      <c r="H7" s="157" t="n">
        <v>70901</v>
      </c>
      <c r="I7" s="122" t="n">
        <v>74582</v>
      </c>
      <c r="J7" s="157" t="s">
        <v>47</v>
      </c>
      <c r="K7" s="157" t="s">
        <v>47</v>
      </c>
      <c r="L7" s="157" t="n">
        <v>50373</v>
      </c>
      <c r="M7" s="157" t="n">
        <v>54429</v>
      </c>
      <c r="N7" s="157" t="n">
        <v>55048</v>
      </c>
      <c r="O7" s="131" t="n"/>
      <c r="P7" s="125" t="n"/>
    </row>
    <row customFormat="1" customHeight="1" ht="22.5" r="8" s="111" spans="1:18">
      <c r="A8" s="215" t="n"/>
      <c r="B8" s="111" t="s">
        <v>48</v>
      </c>
      <c r="C8" s="157">
        <f>C7-55048</f>
        <v/>
      </c>
      <c r="D8" s="157">
        <f>D7-C7</f>
        <v/>
      </c>
      <c r="E8" s="157">
        <f>E7-D7</f>
        <v/>
      </c>
      <c r="F8" s="157">
        <f>F7-E7</f>
        <v/>
      </c>
      <c r="G8" s="157">
        <f>G7-F7</f>
        <v/>
      </c>
      <c r="H8" s="157">
        <f>H7-G7</f>
        <v/>
      </c>
      <c r="I8" s="157">
        <f>I7-H7</f>
        <v/>
      </c>
      <c r="J8" s="157">
        <f>AVERAGE(H8,I8)</f>
        <v/>
      </c>
      <c r="K8" s="157">
        <f>K7-J7</f>
        <v/>
      </c>
      <c r="L8" s="157">
        <f>L7-K7</f>
        <v/>
      </c>
      <c r="M8" s="157">
        <f>M7-L7</f>
        <v/>
      </c>
      <c r="N8" s="157">
        <f>N7-M7</f>
        <v/>
      </c>
      <c r="O8" s="157">
        <f>O7-N7</f>
        <v/>
      </c>
      <c r="P8" s="157">
        <f>P7-O7</f>
        <v/>
      </c>
    </row>
    <row customFormat="1" customHeight="1" ht="22.5" r="9" s="111" spans="1:18">
      <c r="A9" s="215" t="n"/>
      <c r="B9" s="111" t="s">
        <v>49</v>
      </c>
      <c r="C9" s="275">
        <f>ROUND(C8*C$5,2)</f>
        <v/>
      </c>
      <c r="D9" s="275">
        <f>ROUND(D8*D$5,2)</f>
        <v/>
      </c>
      <c r="E9" s="275">
        <f>ROUND(E8*E$5,2)</f>
        <v/>
      </c>
      <c r="F9" s="275">
        <f>ROUND(F8*F$5,2)</f>
        <v/>
      </c>
      <c r="G9" s="275">
        <f>ROUND(G8*G$5,2)</f>
        <v/>
      </c>
      <c r="H9" s="275">
        <f>ROUND(H8*H$5,2)</f>
        <v/>
      </c>
      <c r="I9" s="275">
        <f>ROUND(I8*I$5,2)</f>
        <v/>
      </c>
      <c r="J9" s="275">
        <f>ROUND(J8*J$5,2)</f>
        <v/>
      </c>
      <c r="K9" s="275">
        <f>ROUND(K8*K$5,2)</f>
        <v/>
      </c>
      <c r="L9" s="275">
        <f>ROUND(L8*L$5,2)</f>
        <v/>
      </c>
      <c r="M9" s="275">
        <f>ROUND(M8*M$5,2)</f>
        <v/>
      </c>
      <c r="N9" s="275">
        <f>ROUND(N8*N$5,2)</f>
        <v/>
      </c>
      <c r="O9" s="276">
        <f>SUM(C9:N9)</f>
        <v/>
      </c>
      <c r="P9" s="125" t="n"/>
    </row>
    <row customFormat="1" customHeight="1" ht="11.25" r="10" s="111" spans="1:18">
      <c r="A10" s="215" t="n"/>
      <c r="B10" s="111" t="n"/>
      <c r="C10" s="275" t="n"/>
      <c r="D10" s="275" t="n"/>
      <c r="E10" s="275" t="n"/>
      <c r="F10" s="277" t="n"/>
      <c r="G10" s="277" t="n"/>
      <c r="H10" s="277" t="n"/>
      <c r="I10" s="277" t="n"/>
      <c r="J10" s="277" t="n"/>
      <c r="K10" s="277" t="n"/>
      <c r="L10" s="277" t="n"/>
      <c r="M10" s="277" t="n"/>
      <c r="N10" s="277" t="n"/>
      <c r="O10" s="276" t="n"/>
      <c r="P10" s="125" t="n"/>
    </row>
    <row customFormat="1" customHeight="1" ht="22.5" r="11" s="111" spans="1:18">
      <c r="A11" s="215" t="s">
        <v>50</v>
      </c>
      <c r="B11" s="111" t="s">
        <v>51</v>
      </c>
      <c r="C11" s="156" t="n">
        <v>44738</v>
      </c>
      <c r="D11" s="156" t="n">
        <v>44738</v>
      </c>
      <c r="E11" s="156" t="n">
        <v>44738</v>
      </c>
      <c r="F11" s="156" t="n">
        <v>44738</v>
      </c>
      <c r="G11" s="122" t="n">
        <v>44738</v>
      </c>
      <c r="H11" s="122" t="n">
        <v>44738</v>
      </c>
      <c r="I11" s="157" t="n">
        <v>0</v>
      </c>
      <c r="J11" s="157" t="s">
        <v>52</v>
      </c>
      <c r="K11" s="122" t="s">
        <v>52</v>
      </c>
      <c r="L11" s="122" t="n">
        <v>44738</v>
      </c>
      <c r="M11" s="122" t="n">
        <v>44738</v>
      </c>
      <c r="N11" s="122" t="n">
        <v>44738</v>
      </c>
      <c r="O11" s="131" t="n"/>
      <c r="P11" s="143" t="n"/>
      <c r="Q11" s="137" t="n"/>
    </row>
    <row customFormat="1" customHeight="1" ht="22.5" r="12" s="111" spans="1:18">
      <c r="A12" s="215" t="n"/>
      <c r="B12" s="111" t="s">
        <v>48</v>
      </c>
      <c r="C12" s="157">
        <f>(103+79)/2</f>
        <v/>
      </c>
      <c r="D12" s="210">
        <f>(195+185)/2</f>
        <v/>
      </c>
      <c r="E12" s="210">
        <f>(635+433)/2</f>
        <v/>
      </c>
      <c r="F12" s="210">
        <f>(520+577)/2</f>
        <v/>
      </c>
      <c r="G12" s="210">
        <f>AVERAGE(454,476)</f>
        <v/>
      </c>
      <c r="H12" s="210">
        <f>AVERAGE(362,369)</f>
        <v/>
      </c>
      <c r="I12" s="210">
        <f>AVERAGE(514,313)</f>
        <v/>
      </c>
      <c r="J12" s="157">
        <f>J11-I11</f>
        <v/>
      </c>
      <c r="K12" s="210">
        <f>(425+344)/2</f>
        <v/>
      </c>
      <c r="L12" s="210">
        <f>(430+462)/2</f>
        <v/>
      </c>
      <c r="M12" s="210">
        <f>(279+254)/2</f>
        <v/>
      </c>
      <c r="N12" s="157" t="n">
        <v>84</v>
      </c>
      <c r="O12" s="132">
        <f>SUM(C12:N12)</f>
        <v/>
      </c>
      <c r="P12" s="111" t="n"/>
    </row>
    <row customFormat="1" customHeight="1" ht="22.5" r="13" s="141" spans="1:18">
      <c r="A13" s="62" t="n"/>
      <c r="B13" s="111" t="s">
        <v>49</v>
      </c>
      <c r="C13" s="275">
        <f>C12*C$5</f>
        <v/>
      </c>
      <c r="D13" s="275">
        <f>ROUND(D12*D$5,2)</f>
        <v/>
      </c>
      <c r="E13" s="275">
        <f>E12*E$5</f>
        <v/>
      </c>
      <c r="F13" s="275">
        <f>F12*F$5</f>
        <v/>
      </c>
      <c r="G13" s="278">
        <f>G12*G$5</f>
        <v/>
      </c>
      <c r="H13" s="278">
        <f>H12*H$5</f>
        <v/>
      </c>
      <c r="I13" s="278">
        <f>I12*I$5</f>
        <v/>
      </c>
      <c r="J13" s="278">
        <f>J12*J$5</f>
        <v/>
      </c>
      <c r="K13" s="278">
        <f>K12*K$5</f>
        <v/>
      </c>
      <c r="L13" s="278">
        <f>L12*L$5</f>
        <v/>
      </c>
      <c r="M13" s="278">
        <f>M12*M$5</f>
        <v/>
      </c>
      <c r="N13" s="275">
        <f>N12*N$5</f>
        <v/>
      </c>
      <c r="O13" s="276">
        <f>SUM(C13:N13)</f>
        <v/>
      </c>
    </row>
    <row customFormat="1" r="14" s="141" spans="1:18">
      <c r="A14" s="81" t="n"/>
      <c r="B14" s="112" t="n"/>
      <c r="C14" s="279" t="n"/>
      <c r="D14" s="279" t="n"/>
      <c r="E14" s="280" t="n"/>
      <c r="F14" s="279" t="n"/>
      <c r="G14" s="279" t="n"/>
      <c r="H14" s="279" t="n"/>
      <c r="I14" s="279" t="n"/>
      <c r="J14" s="279" t="n"/>
      <c r="K14" s="279" t="n"/>
      <c r="L14" s="279" t="n"/>
      <c r="M14" s="279" t="n"/>
      <c r="N14" s="279" t="n"/>
      <c r="O14" s="281" t="n"/>
      <c r="P14" s="205" t="n"/>
    </row>
    <row customFormat="1" r="15" s="141" spans="1:18">
      <c r="A15" s="148" t="s">
        <v>53</v>
      </c>
      <c r="B15" s="111" t="n"/>
      <c r="C15" s="122">
        <f>SUM(C8+C12)</f>
        <v/>
      </c>
      <c r="D15" s="122">
        <f>SUM(D8+D12)</f>
        <v/>
      </c>
      <c r="E15" s="122">
        <f>SUM(E8+E12)</f>
        <v/>
      </c>
      <c r="F15" s="122">
        <f>SUM(F8+F12)</f>
        <v/>
      </c>
      <c r="G15" s="122">
        <f>SUM(G8+G12)</f>
        <v/>
      </c>
      <c r="H15" s="122">
        <f>SUM(H8+H12)</f>
        <v/>
      </c>
      <c r="I15" s="122">
        <f>SUM(I8+I12)</f>
        <v/>
      </c>
      <c r="J15" s="122">
        <f>SUM(J8+J12)</f>
        <v/>
      </c>
      <c r="K15" s="122">
        <f>SUM(K8+K12)</f>
        <v/>
      </c>
      <c r="L15" s="122">
        <f>SUM(L8+L12)</f>
        <v/>
      </c>
      <c r="M15" s="122">
        <f>SUM(M8+M12)</f>
        <v/>
      </c>
      <c r="N15" s="122">
        <f>SUM(N8+N12)</f>
        <v/>
      </c>
      <c r="O15" s="122">
        <f>SUM(O8+O12)</f>
        <v/>
      </c>
      <c r="P15" s="142">
        <f>SUM(C15:N15)</f>
        <v/>
      </c>
    </row>
    <row customFormat="1" r="16" s="141" spans="1:18">
      <c r="A16" s="148" t="s">
        <v>40</v>
      </c>
      <c r="B16" s="148" t="n"/>
      <c r="C16" s="275">
        <f>ROUND(SUM(C9+C13)*(2/24),2)</f>
        <v/>
      </c>
      <c r="D16" s="275">
        <f>ROUND(SUM(D9+D13)*(2/24),2)</f>
        <v/>
      </c>
      <c r="E16" s="275">
        <f>ROUND(SUM(E9+E13)*(2/24),2)</f>
        <v/>
      </c>
      <c r="F16" s="275">
        <f>ROUND(SUM(F9+F13)*(2/24),2)</f>
        <v/>
      </c>
      <c r="G16" s="275">
        <f>ROUND(SUM(G9+G13)*(2/24),2)</f>
        <v/>
      </c>
      <c r="H16" s="275">
        <f>ROUND(SUM(H9+H13)*(2/24),2)</f>
        <v/>
      </c>
      <c r="I16" s="275">
        <f>ROUND(SUM(I9+I13)*(2/24),2)</f>
        <v/>
      </c>
      <c r="J16" s="275">
        <f>ROUND(SUM(J9+J13)*(2/24),2)</f>
        <v/>
      </c>
      <c r="K16" s="275">
        <f>ROUND(SUM(K9+K13)*(2/24),2)</f>
        <v/>
      </c>
      <c r="L16" s="275">
        <f>ROUND(SUM(L9+L13)*(2/24),2)</f>
        <v/>
      </c>
      <c r="M16" s="275">
        <f>ROUND(SUM(M9+M13)*(2/24),2)</f>
        <v/>
      </c>
      <c r="N16" s="275">
        <f>ROUND(SUM(N9+N13)*(2/24),2)</f>
        <v/>
      </c>
      <c r="O16" s="275">
        <f>ROUND(SUM(O9+O13)*(2/24),2)</f>
        <v/>
      </c>
      <c r="P16" s="275">
        <f>ROUND(SUM(P9+P13)*(2/24),2)</f>
        <v/>
      </c>
    </row>
    <row customFormat="1" r="17" s="141" spans="1:18">
      <c r="A17" s="62" t="n"/>
      <c r="B17" s="205" t="n"/>
      <c r="C17" s="122" t="n"/>
      <c r="D17" s="122" t="n"/>
      <c r="E17" s="122" t="n"/>
      <c r="F17" s="122" t="n"/>
      <c r="G17" s="122" t="n"/>
      <c r="H17" s="122" t="n"/>
      <c r="I17" s="122" t="n"/>
      <c r="K17" s="122" t="n"/>
      <c r="L17" s="122" t="n"/>
      <c r="M17" s="122" t="n"/>
      <c r="N17" s="122" t="n"/>
      <c r="O17" s="205" t="n"/>
      <c r="P17" s="205" t="n"/>
      <c r="R17" s="141" t="n"/>
    </row>
    <row customFormat="1" r="18" s="141" spans="1:18">
      <c r="A18" s="205" t="n"/>
      <c r="B18" s="205" t="n"/>
      <c r="C18" s="205" t="n"/>
      <c r="D18" s="205" t="n"/>
      <c r="E18" s="245" t="n"/>
      <c r="F18" s="137" t="n"/>
      <c r="G18" s="137" t="n"/>
      <c r="H18" s="137" t="n"/>
      <c r="I18" s="137" t="n"/>
      <c r="J18" s="137" t="n"/>
      <c r="K18" s="137" t="n"/>
      <c r="L18" s="137" t="n"/>
      <c r="M18" s="137" t="n"/>
      <c r="N18" s="137" t="n"/>
      <c r="O18" s="205" t="n"/>
      <c r="P18" s="205" t="n"/>
    </row>
    <row customFormat="1" r="19" s="148" spans="1:18">
      <c r="A19" s="124" t="s">
        <v>19</v>
      </c>
      <c r="B19" s="205" t="n"/>
      <c r="C19" s="205" t="n"/>
      <c r="D19" s="205" t="n"/>
      <c r="E19" s="138" t="n"/>
      <c r="F19" s="205" t="n"/>
      <c r="G19" s="205" t="n"/>
      <c r="H19" s="205" t="n"/>
      <c r="I19" s="205" t="n"/>
      <c r="J19" s="205" t="n"/>
      <c r="K19" s="205" t="n"/>
      <c r="L19" s="205" t="n"/>
      <c r="M19" s="205" t="n"/>
      <c r="N19" s="205" t="n"/>
      <c r="O19" s="205" t="n"/>
      <c r="P19" s="205" t="n"/>
      <c r="Q19" s="148" t="n"/>
      <c r="R19" s="148" t="n"/>
    </row>
    <row customFormat="1" r="20" s="148" spans="1:18">
      <c r="A20" s="124" t="s">
        <v>54</v>
      </c>
      <c r="B20" s="205" t="n"/>
      <c r="C20" s="205" t="n"/>
      <c r="D20" s="205" t="n"/>
      <c r="E20" s="138" t="n"/>
      <c r="F20" s="205" t="n"/>
      <c r="G20" s="205" t="n"/>
      <c r="H20" s="205" t="n"/>
      <c r="I20" s="205" t="n"/>
      <c r="J20" s="205" t="n"/>
      <c r="K20" s="205" t="n"/>
      <c r="L20" s="205" t="n"/>
      <c r="M20" s="205" t="n"/>
      <c r="N20" s="205" t="n"/>
      <c r="O20" s="205" t="n"/>
      <c r="P20" s="205" t="n"/>
      <c r="Q20" s="148" t="n"/>
      <c r="R20" s="148" t="n"/>
    </row>
    <row customFormat="1" r="21" s="148" spans="1:18">
      <c r="A21" s="124" t="s">
        <v>55</v>
      </c>
      <c r="B21" s="205" t="n"/>
      <c r="C21" s="205" t="n"/>
      <c r="D21" s="205" t="n"/>
      <c r="E21" s="138" t="n"/>
      <c r="F21" s="205" t="n"/>
      <c r="G21" s="205" t="n"/>
      <c r="H21" s="205" t="n"/>
      <c r="I21" s="205" t="n"/>
      <c r="J21" s="205" t="n"/>
      <c r="K21" s="205" t="n"/>
      <c r="L21" s="205" t="n"/>
      <c r="M21" s="205" t="n"/>
      <c r="N21" s="205" t="n"/>
      <c r="O21" s="205" t="n"/>
      <c r="P21" s="205" t="n"/>
      <c r="Q21" s="148" t="n"/>
      <c r="R21" s="148" t="n"/>
    </row>
    <row customFormat="1" r="22" s="148" spans="1:18">
      <c r="A22" s="124" t="n"/>
      <c r="B22" s="205" t="n"/>
      <c r="C22" s="205" t="n"/>
      <c r="D22" s="205" t="n"/>
      <c r="E22" s="138" t="n"/>
      <c r="F22" s="205" t="n"/>
      <c r="G22" s="205" t="n"/>
      <c r="H22" s="205" t="n"/>
      <c r="I22" s="205" t="n"/>
      <c r="J22" s="205" t="n"/>
      <c r="K22" s="205" t="n"/>
      <c r="L22" s="205" t="n"/>
      <c r="M22" s="205" t="n"/>
      <c r="N22" s="205" t="n"/>
      <c r="O22" s="205" t="n"/>
      <c r="P22" s="205" t="n"/>
      <c r="Q22" s="148" t="n"/>
      <c r="R22" s="148" t="n"/>
    </row>
    <row customFormat="1" r="23" s="148" spans="1:18">
      <c r="A23" s="205" t="n"/>
      <c r="B23" s="205" t="n"/>
      <c r="C23" s="117" t="n"/>
      <c r="D23" s="117" t="n"/>
      <c r="E23" s="139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205" t="n"/>
      <c r="P23" s="205" t="n"/>
      <c r="Q23" s="148" t="n"/>
      <c r="R23" s="148" t="n"/>
    </row>
    <row customFormat="1" r="24" s="148" spans="1:18">
      <c r="A24" s="205" t="n"/>
      <c r="B24" s="205" t="n"/>
      <c r="C24" s="117" t="n"/>
      <c r="D24" s="117" t="n"/>
      <c r="E24" s="139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205" t="n"/>
      <c r="Q24" s="148" t="n"/>
      <c r="R24" s="148" t="n"/>
    </row>
    <row customFormat="1" r="25" s="141" spans="1:18">
      <c r="A25" s="205" t="n"/>
      <c r="B25" s="205" t="n"/>
      <c r="D25" s="205" t="n"/>
      <c r="E25" s="138" t="n"/>
      <c r="F25" s="205" t="n"/>
      <c r="G25" s="205" t="n"/>
      <c r="H25" s="205" t="n"/>
      <c r="I25" s="205" t="n"/>
      <c r="J25" s="205" t="n"/>
      <c r="K25" s="205" t="n"/>
      <c r="L25" s="205" t="n"/>
      <c r="M25" s="205" t="n"/>
      <c r="N25" s="205" t="n"/>
      <c r="O25" s="205" t="n"/>
      <c r="P25" s="205" t="n"/>
    </row>
    <row customFormat="1" r="26" s="141" spans="1:18">
      <c r="A26" s="205" t="n"/>
      <c r="B26" s="205" t="n"/>
      <c r="C26" s="205" t="n"/>
      <c r="D26" s="205" t="n"/>
      <c r="E26" s="138" t="n"/>
      <c r="F26" s="205" t="n"/>
      <c r="G26" s="205" t="n"/>
      <c r="H26" s="205" t="n"/>
      <c r="I26" s="205" t="n"/>
      <c r="J26" s="205" t="n"/>
      <c r="K26" s="205" t="n"/>
      <c r="L26" s="205" t="n"/>
      <c r="M26" s="205" t="n"/>
      <c r="N26" s="205" t="n"/>
      <c r="O26" s="205" t="n"/>
      <c r="P26" s="205" t="n"/>
    </row>
    <row hidden="1" r="29" s="146" spans="1:18">
      <c r="C29" s="205" t="n"/>
      <c r="D29" s="205" t="n"/>
      <c r="F29" s="205" t="n"/>
      <c r="H29" s="205" t="n"/>
      <c r="I29" s="205" t="n"/>
    </row>
    <row hidden="1" r="30" s="146" spans="1:18">
      <c r="C30" s="205" t="n"/>
      <c r="D30" s="205" t="n"/>
      <c r="F30" s="205" t="n"/>
      <c r="H30" s="205" t="n"/>
      <c r="I30" s="205" t="n"/>
    </row>
    <row hidden="1" r="31" s="146" spans="1:18">
      <c r="C31" s="205" t="n"/>
      <c r="D31" s="205" t="n"/>
      <c r="F31" s="205" t="n"/>
      <c r="H31" s="205" t="n"/>
      <c r="I31" s="205" t="n"/>
    </row>
    <row hidden="1" r="32" s="146" spans="1:18">
      <c r="C32" s="205" t="n"/>
      <c r="D32" s="205" t="n"/>
      <c r="F32" s="205" t="n"/>
      <c r="H32" s="205" t="n"/>
      <c r="I32" s="205" t="n"/>
    </row>
    <row r="40" spans="1:18">
      <c r="C40" s="117" t="n"/>
      <c r="D40" s="117" t="n"/>
    </row>
  </sheetData>
  <pageMargins bottom="0.25" footer="0.5" header="0.5" left="0" right="0" top="0.5"/>
  <pageSetup orientation="landscape" scale="67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R65"/>
  <sheetViews>
    <sheetView workbookViewId="0" zoomScale="130" zoomScaleNormal="130">
      <pane activePane="bottomLeft" state="frozen" topLeftCell="A6" ySplit="5"/>
      <selection activeCell="D26" activeCellId="1" sqref="I28 D26"/>
      <selection activeCell="Q12" pane="bottomLeft" sqref="Q12"/>
    </sheetView>
  </sheetViews>
  <sheetFormatPr baseColWidth="8" defaultRowHeight="12.75" outlineLevelCol="0"/>
  <cols>
    <col customWidth="1" max="1" min="1" style="148" width="16.28515625"/>
    <col customWidth="1" max="2" min="2" style="148" width="10.140625"/>
    <col customWidth="1" hidden="1" max="5" min="3" style="148" width="10.85546875"/>
    <col customWidth="1" hidden="1" max="6" min="6" style="148" width="9.140625"/>
    <col customWidth="1" hidden="1" max="7" min="7" style="148" width="9.42578125"/>
    <col customWidth="1" hidden="1" max="8" min="8" style="148" width="10"/>
    <col customWidth="1" hidden="1" max="9" min="9" style="148" width="8.28515625"/>
    <col customWidth="1" max="10" min="10" style="148" width="10.7109375"/>
    <col customWidth="1" hidden="1" max="11" min="11" style="148" width="8.5703125"/>
    <col customWidth="1" hidden="1" max="12" min="12" style="148" width="7.85546875"/>
    <col customWidth="1" hidden="1" max="13" min="13" style="148" width="8.7109375"/>
    <col customWidth="1" hidden="1" max="14" min="14" style="148" width="7.85546875"/>
    <col customWidth="1" hidden="1" max="15" min="15" style="146" width="9.5703125"/>
    <col customWidth="1" hidden="1" max="16" min="16" style="146" width="10.140625"/>
    <col customWidth="1" max="17" min="17" style="146" width="9.140625"/>
  </cols>
  <sheetData>
    <row customHeight="1" ht="15.75" r="1" s="146" spans="1:18">
      <c r="A1" s="30" t="s">
        <v>56</v>
      </c>
      <c r="B1" s="148" t="n"/>
      <c r="O1" s="222" t="n"/>
    </row>
    <row r="2" spans="1:18">
      <c r="C2" s="148" t="n"/>
      <c r="D2" s="148" t="n"/>
      <c r="E2" s="148" t="n"/>
    </row>
    <row r="3" spans="1:18">
      <c r="A3" s="106" t="s">
        <v>57</v>
      </c>
      <c r="B3" s="106" t="s">
        <v>4</v>
      </c>
      <c r="C3" s="271">
        <f>'Utility Summary'!C3</f>
        <v/>
      </c>
      <c r="D3" s="271">
        <f>'Utility Summary'!D3</f>
        <v/>
      </c>
      <c r="E3" s="271">
        <f>'Utility Summary'!E3</f>
        <v/>
      </c>
      <c r="F3" s="271">
        <f>'Utility Summary'!F3</f>
        <v/>
      </c>
      <c r="G3" s="271">
        <f>'Utility Summary'!G3</f>
        <v/>
      </c>
      <c r="H3" s="271">
        <f>'Utility Summary'!H3</f>
        <v/>
      </c>
      <c r="I3" s="271">
        <f>'Utility Summary'!I3</f>
        <v/>
      </c>
      <c r="J3" s="271">
        <f>'Utility Summary'!J3</f>
        <v/>
      </c>
      <c r="K3" s="271">
        <f>'Utility Summary'!K3</f>
        <v/>
      </c>
      <c r="L3" s="271">
        <f>'Utility Summary'!L3</f>
        <v/>
      </c>
      <c r="M3" s="271">
        <f>'Utility Summary'!M3</f>
        <v/>
      </c>
      <c r="N3" s="282">
        <f>'Utility Summary'!N3</f>
        <v/>
      </c>
      <c r="O3" s="109" t="s">
        <v>1</v>
      </c>
      <c r="P3" s="110" t="s">
        <v>5</v>
      </c>
    </row>
    <row r="4" spans="1:18">
      <c r="A4" s="148" t="n"/>
      <c r="B4" s="125" t="s">
        <v>32</v>
      </c>
      <c r="C4" s="257">
        <f>Electricity!C4</f>
        <v/>
      </c>
      <c r="D4" s="257">
        <f>Electricity!D4</f>
        <v/>
      </c>
      <c r="E4" s="257">
        <f>Electricity!E4</f>
        <v/>
      </c>
      <c r="F4" s="257">
        <f>Electricity!F4</f>
        <v/>
      </c>
      <c r="G4" s="257">
        <f>Electricity!G4</f>
        <v/>
      </c>
      <c r="H4" s="257">
        <f>Electricity!H4</f>
        <v/>
      </c>
      <c r="I4" s="257">
        <f>Electricity!I4</f>
        <v/>
      </c>
      <c r="J4" s="257">
        <f>Electricity!J4</f>
        <v/>
      </c>
      <c r="K4" s="257">
        <f>Electricity!K4</f>
        <v/>
      </c>
      <c r="L4" s="257">
        <f>Electricity!L4</f>
        <v/>
      </c>
      <c r="M4" s="257">
        <f>Electricity!M4</f>
        <v/>
      </c>
      <c r="N4" s="259">
        <f>Electricity!N4</f>
        <v/>
      </c>
      <c r="P4" s="111" t="n"/>
    </row>
    <row customFormat="1" customHeight="1" ht="22.5" r="5" s="82" spans="1:18">
      <c r="A5" s="70" t="n"/>
      <c r="B5" s="112" t="s">
        <v>58</v>
      </c>
      <c r="C5" s="283">
        <f>66973.17/(16089*748/1000)</f>
        <v/>
      </c>
      <c r="D5" s="283">
        <f>49796.32/(11950*748/1000)</f>
        <v/>
      </c>
      <c r="E5" s="283">
        <f>63844.07/(15335*748/1000)</f>
        <v/>
      </c>
      <c r="F5" s="283">
        <f>52265.57/(12545*748/1000)</f>
        <v/>
      </c>
      <c r="G5" s="283">
        <f>34179.87/(8187*748/1000)</f>
        <v/>
      </c>
      <c r="H5" s="283">
        <f>27909.22/(6676*748/1000)</f>
        <v/>
      </c>
      <c r="I5" s="283">
        <f>17291.41/(4097*748/1000)</f>
        <v/>
      </c>
      <c r="J5" s="283">
        <f>31049.75/(6438*(748/1000))</f>
        <v/>
      </c>
      <c r="K5" s="283">
        <f>31049.75/(6438*(748/1000))</f>
        <v/>
      </c>
      <c r="L5" s="283">
        <f>30268.87/(7247*748/1000)</f>
        <v/>
      </c>
      <c r="M5" s="283">
        <f>48314.77/(11593*748/1000)</f>
        <v/>
      </c>
      <c r="N5" s="264">
        <f>32275.02/(7728*748/1000)</f>
        <v/>
      </c>
      <c r="O5" s="114" t="n"/>
      <c r="P5" s="112" t="n"/>
    </row>
    <row r="6" spans="1:18">
      <c r="A6" s="106" t="n"/>
      <c r="B6" s="106" t="n"/>
      <c r="C6" s="148" t="n"/>
      <c r="D6" s="148" t="n"/>
      <c r="E6" s="106" t="n"/>
      <c r="F6" s="106" t="n"/>
      <c r="G6" s="106" t="n"/>
      <c r="H6" s="106" t="n"/>
      <c r="I6" s="106" t="n"/>
      <c r="J6" s="106" t="n"/>
      <c r="L6" s="106" t="n"/>
      <c r="M6" s="106" t="n"/>
      <c r="N6" s="178" t="n"/>
      <c r="O6" s="115" t="n"/>
    </row>
    <row r="7" spans="1:18">
      <c r="A7" s="125" t="s">
        <v>59</v>
      </c>
      <c r="B7" s="125" t="s">
        <v>60</v>
      </c>
      <c r="C7" s="224" t="n"/>
      <c r="D7" s="160" t="n"/>
      <c r="E7" s="160" t="n"/>
      <c r="F7" s="160" t="n"/>
      <c r="G7" s="224" t="n"/>
      <c r="H7" s="224" t="n"/>
      <c r="I7" s="224" t="n"/>
      <c r="J7" s="224" t="n"/>
      <c r="K7" s="224" t="n"/>
      <c r="L7" s="224" t="n"/>
      <c r="M7" s="224" t="n"/>
      <c r="N7" s="179" t="n"/>
      <c r="O7" s="224" t="n"/>
    </row>
    <row r="8" spans="1:18">
      <c r="A8" s="148" t="s">
        <v>61</v>
      </c>
      <c r="B8" s="148" t="s">
        <v>62</v>
      </c>
      <c r="C8" s="224" t="n">
        <v>176465.24</v>
      </c>
      <c r="D8" s="224" t="n">
        <v>272199.2299999986</v>
      </c>
      <c r="E8" s="224" t="n">
        <v>694331.92</v>
      </c>
      <c r="F8" s="160" t="n">
        <v>288043.8000000007</v>
      </c>
      <c r="G8" s="224" t="n">
        <v>252505.3000000007</v>
      </c>
      <c r="H8" s="224" t="n">
        <v>149648.5999999978</v>
      </c>
      <c r="I8" s="137" t="n">
        <v>176714</v>
      </c>
      <c r="J8" s="224" t="n">
        <v>170863.2</v>
      </c>
      <c r="K8" s="213" t="n">
        <v>170863.2</v>
      </c>
      <c r="L8" s="224" t="n">
        <v>615593.7</v>
      </c>
      <c r="M8" s="224" t="n">
        <v>405928.9100000001</v>
      </c>
      <c r="N8" s="179" t="n">
        <v>121661.9</v>
      </c>
      <c r="O8" s="224">
        <f>SUM(C8:N8)</f>
        <v/>
      </c>
    </row>
    <row r="9" spans="1:18">
      <c r="A9" s="148" t="s">
        <v>63</v>
      </c>
      <c r="B9" s="148" t="s">
        <v>37</v>
      </c>
      <c r="C9" s="245">
        <f>ROUND(C$5*C8/1000,2)</f>
        <v/>
      </c>
      <c r="D9" s="245">
        <f>ROUND(D$5*D8/1000,2)</f>
        <v/>
      </c>
      <c r="E9" s="245">
        <f>ROUND(E$5*E8/1000,2)</f>
        <v/>
      </c>
      <c r="F9" s="245">
        <f>ROUND(F$5*F8/1000,2)</f>
        <v/>
      </c>
      <c r="G9" s="245">
        <f>ROUND(G$5*G8/1000,2)</f>
        <v/>
      </c>
      <c r="H9" s="245">
        <f>ROUND(H$5*H8/1000,2)</f>
        <v/>
      </c>
      <c r="I9" s="245">
        <f>ROUND(I$5*I8/1000,2)</f>
        <v/>
      </c>
      <c r="J9" s="245">
        <f>ROUND(J$5*J8/1000,2)</f>
        <v/>
      </c>
      <c r="K9" s="245">
        <f>ROUND(K$5*K8/1000,2)</f>
        <v/>
      </c>
      <c r="L9" s="245">
        <f>ROUND(L$5*L8/1000,2)</f>
        <v/>
      </c>
      <c r="M9" s="245">
        <f>ROUND(M$5*M8/1000,2)</f>
        <v/>
      </c>
      <c r="N9" s="265">
        <f>ROUND(N$5*N8/1000,2)</f>
        <v/>
      </c>
      <c r="O9" s="245">
        <f>SUM(C9:N9)</f>
        <v/>
      </c>
    </row>
    <row r="10" spans="1:18">
      <c r="A10" s="148" t="n"/>
      <c r="B10" s="148" t="n"/>
      <c r="C10" s="175" t="n"/>
      <c r="D10" s="175" t="n"/>
      <c r="E10" s="148" t="n"/>
      <c r="F10" s="148" t="n"/>
      <c r="G10" s="148" t="n"/>
      <c r="H10" s="148" t="n"/>
      <c r="I10" s="148" t="n"/>
      <c r="J10" s="148" t="n"/>
      <c r="K10" s="148" t="n"/>
      <c r="L10" s="148" t="n"/>
      <c r="M10" s="148" t="n"/>
      <c r="N10" s="184" t="n"/>
      <c r="O10" s="148" t="n"/>
      <c r="P10" s="148" t="n"/>
    </row>
    <row r="11" spans="1:18">
      <c r="A11" s="87" t="n"/>
      <c r="B11" s="87" t="n"/>
      <c r="C11" s="87" t="n"/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185" t="n"/>
      <c r="O11" s="118" t="n"/>
    </row>
    <row r="12" spans="1:18">
      <c r="A12" s="148" t="s">
        <v>64</v>
      </c>
      <c r="B12" s="111" t="n"/>
      <c r="C12" s="137">
        <f>SUM(C8)</f>
        <v/>
      </c>
      <c r="D12" s="137">
        <f>SUM(D8)</f>
        <v/>
      </c>
      <c r="E12" s="137">
        <f>SUM(E8)</f>
        <v/>
      </c>
      <c r="F12" s="137">
        <f>SUM(F8)</f>
        <v/>
      </c>
      <c r="G12" s="137">
        <f>SUM(G8)</f>
        <v/>
      </c>
      <c r="H12" s="137">
        <f>SUM(H8)</f>
        <v/>
      </c>
      <c r="I12" s="137">
        <f>SUM(I8)</f>
        <v/>
      </c>
      <c r="J12" s="137">
        <f>SUM(J8)</f>
        <v/>
      </c>
      <c r="K12" s="137">
        <f>SUM(K8)</f>
        <v/>
      </c>
      <c r="L12" s="137">
        <f>SUM(L8)</f>
        <v/>
      </c>
      <c r="M12" s="137">
        <f>SUM(M8)</f>
        <v/>
      </c>
      <c r="N12" s="186">
        <f>SUM(N8)</f>
        <v/>
      </c>
      <c r="O12" s="137">
        <f>SUM(O8)</f>
        <v/>
      </c>
      <c r="P12" s="137">
        <f>SUM(C12:N12)</f>
        <v/>
      </c>
      <c r="R12" s="166" t="n"/>
    </row>
    <row r="13" spans="1:18">
      <c r="A13" s="148" t="s">
        <v>40</v>
      </c>
      <c r="B13" s="148" t="n"/>
      <c r="C13" s="245">
        <f>SUM(C9)</f>
        <v/>
      </c>
      <c r="D13" s="245">
        <f>SUM(D9)</f>
        <v/>
      </c>
      <c r="E13" s="245">
        <f>SUM(E9)</f>
        <v/>
      </c>
      <c r="F13" s="245">
        <f>SUM(F9)</f>
        <v/>
      </c>
      <c r="G13" s="245">
        <f>SUM(G9)</f>
        <v/>
      </c>
      <c r="H13" s="245">
        <f>SUM(H9)</f>
        <v/>
      </c>
      <c r="I13" s="245">
        <f>SUM(I9)</f>
        <v/>
      </c>
      <c r="J13" s="245">
        <f>SUM(J9)</f>
        <v/>
      </c>
      <c r="K13" s="245">
        <f>SUM(K9)</f>
        <v/>
      </c>
      <c r="L13" s="245">
        <f>SUM(L9)</f>
        <v/>
      </c>
      <c r="M13" s="245">
        <f>SUM(M9)</f>
        <v/>
      </c>
      <c r="N13" s="245">
        <f>SUM(N9)</f>
        <v/>
      </c>
      <c r="O13" s="245">
        <f>SUM(O9)</f>
        <v/>
      </c>
      <c r="P13" s="245">
        <f>SUM(C13:N13)</f>
        <v/>
      </c>
    </row>
    <row r="15" spans="1:18">
      <c r="A15" s="8" t="s">
        <v>19</v>
      </c>
      <c r="B15" s="148" t="n"/>
    </row>
    <row r="16" spans="1:18">
      <c r="A16" s="8" t="s">
        <v>65</v>
      </c>
      <c r="B16" s="148" t="n"/>
    </row>
    <row r="17" spans="1:18">
      <c r="A17" s="45" t="s">
        <v>66</v>
      </c>
      <c r="B17" s="148" t="n"/>
    </row>
    <row r="18" spans="1:18">
      <c r="A18" s="45" t="s">
        <v>24</v>
      </c>
      <c r="B18" s="148" t="n"/>
    </row>
    <row r="19" spans="1:18">
      <c r="A19" s="45" t="s">
        <v>25</v>
      </c>
      <c r="B19" s="148" t="n"/>
    </row>
    <row r="20" spans="1:18">
      <c r="A20" s="148" t="s">
        <v>67</v>
      </c>
      <c r="B20" s="148" t="n"/>
    </row>
    <row customFormat="1" r="53" s="148" spans="1:18">
      <c r="A53" s="148" t="n"/>
      <c r="B53" s="148" t="n"/>
      <c r="C53" s="148" t="n"/>
      <c r="D53" s="148" t="n"/>
      <c r="E53" s="148" t="n"/>
      <c r="F53" s="148" t="n"/>
      <c r="G53" s="148" t="n"/>
      <c r="H53" s="148" t="n"/>
      <c r="I53" s="148" t="n"/>
      <c r="J53" s="148" t="n"/>
      <c r="K53" s="148" t="n"/>
      <c r="L53" s="148" t="n"/>
      <c r="M53" s="148" t="n"/>
      <c r="N53" s="148" t="n"/>
      <c r="Q53" s="148" t="n"/>
    </row>
    <row customFormat="1" r="54" s="148" spans="1:18">
      <c r="A54" s="148" t="n"/>
      <c r="B54" s="148" t="n"/>
      <c r="C54" s="148" t="n"/>
      <c r="D54" s="148" t="n"/>
      <c r="E54" s="148" t="n"/>
      <c r="F54" s="148" t="n"/>
      <c r="G54" s="148" t="n"/>
      <c r="H54" s="148" t="n"/>
      <c r="I54" s="148" t="n"/>
      <c r="J54" s="148" t="n"/>
      <c r="K54" s="148" t="n"/>
      <c r="L54" s="148" t="n"/>
      <c r="M54" s="148" t="n"/>
      <c r="N54" s="148" t="n"/>
      <c r="Q54" s="148" t="n"/>
    </row>
    <row customFormat="1" r="55" s="148" spans="1:18">
      <c r="A55" s="148" t="n"/>
      <c r="B55" s="148" t="n"/>
      <c r="C55" s="148" t="n"/>
      <c r="D55" s="148" t="n"/>
      <c r="E55" s="148" t="n"/>
      <c r="F55" s="148" t="n"/>
      <c r="G55" s="148" t="n"/>
      <c r="H55" s="148" t="n"/>
      <c r="I55" s="148" t="n"/>
      <c r="J55" s="148" t="n"/>
      <c r="K55" s="148" t="n"/>
      <c r="L55" s="148" t="n"/>
      <c r="M55" s="148" t="n"/>
      <c r="N55" s="148" t="n"/>
      <c r="Q55" s="148" t="n"/>
    </row>
    <row customFormat="1" r="56" s="148" spans="1:18">
      <c r="A56" s="148" t="n"/>
      <c r="B56" s="148" t="n"/>
      <c r="C56" s="148" t="n"/>
      <c r="D56" s="148" t="n"/>
      <c r="E56" s="148" t="n"/>
      <c r="F56" s="148" t="n"/>
      <c r="G56" s="148" t="n"/>
      <c r="H56" s="148" t="n"/>
      <c r="I56" s="148" t="n"/>
      <c r="J56" s="148" t="n"/>
      <c r="K56" s="148" t="n"/>
      <c r="L56" s="148" t="n"/>
      <c r="M56" s="148" t="n"/>
      <c r="N56" s="148" t="n"/>
      <c r="Q56" s="148" t="n"/>
    </row>
    <row customFormat="1" r="57" s="148" spans="1:18">
      <c r="A57" s="148" t="n"/>
      <c r="B57" s="148" t="n"/>
      <c r="C57" s="148" t="n"/>
      <c r="D57" s="148" t="n"/>
      <c r="E57" s="148" t="n"/>
      <c r="F57" s="148" t="n"/>
      <c r="G57" s="148" t="n"/>
      <c r="H57" s="148" t="n"/>
      <c r="I57" s="148" t="n"/>
      <c r="J57" s="148" t="n"/>
      <c r="K57" s="148" t="n"/>
      <c r="L57" s="148" t="n"/>
      <c r="M57" s="148" t="n"/>
      <c r="N57" s="148" t="n"/>
      <c r="Q57" s="148" t="n"/>
    </row>
    <row customFormat="1" r="58" s="148" spans="1:18">
      <c r="A58" s="148" t="n"/>
      <c r="B58" s="148" t="n"/>
      <c r="C58" s="148" t="n"/>
      <c r="D58" s="148" t="n"/>
      <c r="E58" s="148" t="n"/>
      <c r="F58" s="148" t="n"/>
      <c r="G58" s="148" t="n"/>
      <c r="H58" s="148" t="n"/>
      <c r="I58" s="148" t="n"/>
      <c r="J58" s="148" t="n"/>
      <c r="K58" s="148" t="n"/>
      <c r="L58" s="148" t="n"/>
      <c r="M58" s="148" t="n"/>
      <c r="N58" s="148" t="n"/>
      <c r="Q58" s="148" t="n"/>
    </row>
    <row customFormat="1" r="59" s="148" spans="1:18">
      <c r="A59" s="148" t="n"/>
      <c r="B59" s="148" t="n"/>
      <c r="C59" s="148" t="n"/>
      <c r="D59" s="148" t="n"/>
      <c r="E59" s="148" t="n"/>
      <c r="F59" s="148" t="n"/>
      <c r="G59" s="148" t="n"/>
      <c r="H59" s="148" t="n"/>
      <c r="I59" s="148" t="n"/>
      <c r="J59" s="148" t="n"/>
      <c r="K59" s="148" t="n"/>
      <c r="L59" s="148" t="n"/>
      <c r="M59" s="148" t="n"/>
      <c r="N59" s="148" t="n"/>
      <c r="Q59" s="148" t="n"/>
    </row>
    <row customFormat="1" r="60" s="148" spans="1:18">
      <c r="A60" s="148" t="n"/>
      <c r="B60" s="148" t="n"/>
      <c r="C60" s="148" t="n"/>
      <c r="D60" s="148" t="n"/>
      <c r="E60" s="148" t="n"/>
      <c r="F60" s="148" t="n"/>
      <c r="G60" s="148" t="n"/>
      <c r="H60" s="148" t="n"/>
      <c r="I60" s="148" t="n"/>
      <c r="J60" s="148" t="n"/>
      <c r="K60" s="148" t="n"/>
      <c r="L60" s="148" t="n"/>
      <c r="M60" s="148" t="n"/>
      <c r="N60" s="148" t="n"/>
      <c r="Q60" s="148" t="n"/>
    </row>
    <row customFormat="1" r="61" s="148" spans="1:18">
      <c r="A61" s="148" t="n"/>
      <c r="B61" s="148" t="n"/>
      <c r="C61" s="148" t="n"/>
      <c r="D61" s="148" t="n"/>
      <c r="E61" s="148" t="n"/>
      <c r="F61" s="148" t="n"/>
      <c r="G61" s="148" t="n"/>
      <c r="H61" s="148" t="n"/>
      <c r="I61" s="148" t="n"/>
      <c r="J61" s="148" t="n"/>
      <c r="K61" s="148" t="n"/>
      <c r="L61" s="148" t="n"/>
      <c r="M61" s="148" t="n"/>
      <c r="N61" s="148" t="n"/>
      <c r="Q61" s="148" t="n"/>
    </row>
    <row customFormat="1" r="62" s="148" spans="1:18">
      <c r="A62" s="148" t="n"/>
      <c r="B62" s="148" t="n"/>
      <c r="C62" s="148" t="n"/>
      <c r="D62" s="148" t="n"/>
      <c r="E62" s="148" t="n"/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  <c r="Q62" s="148" t="n"/>
    </row>
    <row customFormat="1" r="64" s="141" spans="1:18">
      <c r="A64" s="148" t="n"/>
      <c r="B64" s="148" t="n"/>
      <c r="C64" s="148" t="n"/>
      <c r="D64" s="148" t="n"/>
      <c r="E64" s="148" t="n"/>
      <c r="F64" s="148" t="n"/>
      <c r="G64" s="148" t="n"/>
      <c r="H64" s="148" t="n"/>
      <c r="I64" s="148" t="n"/>
      <c r="J64" s="148" t="n"/>
      <c r="K64" s="148" t="n"/>
      <c r="L64" s="148" t="n"/>
      <c r="M64" s="148" t="n"/>
      <c r="N64" s="148" t="n"/>
      <c r="Q64" s="119" t="n"/>
    </row>
    <row customFormat="1" r="65" s="205" spans="1:18">
      <c r="A65" s="148" t="n"/>
      <c r="B65" s="148" t="n"/>
      <c r="C65" s="148" t="n"/>
      <c r="D65" s="148" t="n"/>
      <c r="E65" s="148" t="n"/>
      <c r="F65" s="148" t="n"/>
      <c r="G65" s="148" t="n"/>
      <c r="H65" s="148" t="n"/>
      <c r="I65" s="148" t="n"/>
      <c r="J65" s="148" t="n"/>
      <c r="K65" s="148" t="n"/>
      <c r="L65" s="148" t="n"/>
      <c r="M65" s="148" t="n"/>
      <c r="N65" s="148" t="n"/>
    </row>
  </sheetData>
  <printOptions horizontalCentered="1" verticalCentered="1"/>
  <pageMargins bottom="0.5" footer="0.5" header="0.5" left="0" right="0" top="0.5"/>
  <pageSetup orientation="landscape" scale="79"/>
  <legacyDrawing r:id="anysvml"/>
</worksheet>
</file>

<file path=xl/worksheets/sheet6.xml><?xml version="1.0" encoding="utf-8"?>
<worksheet xmlns="http://schemas.openxmlformats.org/spreadsheetml/2006/main">
  <sheetPr codeName="Sheet6">
    <outlinePr summaryBelow="1" summaryRight="1"/>
    <pageSetUpPr fitToPage="1"/>
  </sheetPr>
  <dimension ref="A1:I56"/>
  <sheetViews>
    <sheetView topLeftCell="A13" workbookViewId="0">
      <selection activeCell="E41" sqref="E41"/>
    </sheetView>
  </sheetViews>
  <sheetFormatPr baseColWidth="8" defaultColWidth="9.140625" defaultRowHeight="11.25" outlineLevelCol="0"/>
  <cols>
    <col customWidth="1" max="1" min="1" style="89" width="28.5703125"/>
    <col bestFit="1" customWidth="1" max="2" min="2" style="89" width="13.42578125"/>
    <col customWidth="1" max="4" min="3" style="89" width="8.7109375"/>
    <col customWidth="1" max="5" min="5" style="89" width="20.7109375"/>
    <col customWidth="1" max="7" min="6" style="89" width="9.140625"/>
    <col customWidth="1" max="8" min="8" style="89" width="18.28515625"/>
    <col customWidth="1" max="16384" min="9" style="89" width="9.140625"/>
  </cols>
  <sheetData>
    <row customHeight="1" ht="15.75" r="1" s="146" spans="1:9">
      <c r="A1" s="99" t="s">
        <v>3</v>
      </c>
      <c r="B1" s="99" t="s">
        <v>7</v>
      </c>
      <c r="E1" s="100" t="s">
        <v>43</v>
      </c>
      <c r="H1" s="100" t="s">
        <v>68</v>
      </c>
    </row>
    <row customHeight="1" ht="12.75" r="2" s="146" spans="1:9">
      <c r="B2" s="99" t="n"/>
      <c r="E2" s="100" t="n"/>
    </row>
    <row customFormat="1" customHeight="1" ht="12.75" r="3" s="189" spans="1:9">
      <c r="C3" s="284" t="n"/>
      <c r="D3" s="284" t="n"/>
      <c r="I3" s="284" t="n"/>
    </row>
    <row customFormat="1" customHeight="1" ht="22.5" r="4" s="285" spans="1:9">
      <c r="B4" s="286" t="s">
        <v>32</v>
      </c>
      <c r="C4" s="287" t="n">
        <v>39177</v>
      </c>
      <c r="E4" s="286" t="s">
        <v>32</v>
      </c>
      <c r="F4" s="287" t="n">
        <v>39177</v>
      </c>
      <c r="H4" s="141" t="s">
        <v>32</v>
      </c>
      <c r="I4" s="287" t="n">
        <v>39177</v>
      </c>
    </row>
    <row customFormat="1" customHeight="1" ht="12.75" r="5" s="93" spans="1:9">
      <c r="A5" s="189" t="n"/>
      <c r="B5" s="141" t="n"/>
      <c r="C5" s="288" t="n"/>
      <c r="D5" s="288" t="n"/>
      <c r="E5" s="141" t="n"/>
      <c r="F5" s="189" t="n"/>
      <c r="G5" s="189" t="n"/>
      <c r="H5" s="141" t="n"/>
      <c r="I5" s="289" t="n"/>
    </row>
    <row customFormat="1" customHeight="1" ht="12.75" r="6" s="93" spans="1:9">
      <c r="A6" s="189" t="n"/>
      <c r="B6" s="189" t="n"/>
      <c r="C6" s="189" t="n"/>
      <c r="D6" s="189" t="n"/>
      <c r="E6" s="189" t="n"/>
      <c r="F6" s="189" t="n"/>
      <c r="G6" s="189" t="n"/>
      <c r="H6" s="189" t="n"/>
      <c r="I6" s="189" t="n"/>
    </row>
    <row customFormat="1" customHeight="1" ht="21" r="7" s="93" spans="1:9">
      <c r="A7" s="189" t="s">
        <v>69</v>
      </c>
      <c r="B7" s="141" t="s">
        <v>34</v>
      </c>
      <c r="C7" s="192" t="n">
        <v>397812</v>
      </c>
      <c r="D7" s="194" t="n"/>
      <c r="E7" s="141" t="s">
        <v>70</v>
      </c>
      <c r="F7" s="192" t="n">
        <v>1893</v>
      </c>
      <c r="G7" s="189" t="n"/>
      <c r="H7" s="141" t="s">
        <v>60</v>
      </c>
      <c r="I7" s="192" t="n">
        <v>652198</v>
      </c>
    </row>
    <row customFormat="1" customHeight="1" ht="12.75" r="8" s="93" spans="1:9">
      <c r="A8" s="189" t="n"/>
      <c r="B8" s="141" t="n"/>
      <c r="C8" s="194" t="n"/>
      <c r="D8" s="194" t="n"/>
      <c r="E8" s="141" t="n"/>
      <c r="F8" s="194" t="n"/>
      <c r="G8" s="189" t="n"/>
      <c r="H8" s="141" t="n"/>
      <c r="I8" s="194" t="n"/>
    </row>
    <row customFormat="1" customHeight="1" ht="12.75" r="9" s="93" spans="1:9">
      <c r="A9" s="189" t="n"/>
      <c r="B9" s="141" t="n"/>
      <c r="C9" s="194" t="n"/>
      <c r="D9" s="194" t="n"/>
      <c r="E9" s="141" t="n"/>
      <c r="F9" s="194" t="n"/>
      <c r="G9" s="189" t="n"/>
      <c r="H9" s="141" t="n"/>
      <c r="I9" s="194" t="n"/>
    </row>
    <row customFormat="1" customHeight="1" ht="12.75" r="10" s="93" spans="1:9">
      <c r="A10" s="189" t="n"/>
      <c r="B10" s="189" t="n"/>
      <c r="C10" s="290" t="n"/>
      <c r="D10" s="290" t="n"/>
      <c r="E10" s="141" t="n"/>
      <c r="F10" s="290" t="n"/>
      <c r="G10" s="189" t="n"/>
      <c r="H10" s="141" t="n"/>
      <c r="I10" s="290" t="n"/>
    </row>
    <row customFormat="1" customHeight="1" ht="21" r="11" s="93" spans="1:9">
      <c r="A11" s="189" t="s">
        <v>71</v>
      </c>
      <c r="B11" s="141" t="s">
        <v>34</v>
      </c>
      <c r="C11" s="192" t="n">
        <v>191212</v>
      </c>
      <c r="D11" s="194" t="n"/>
      <c r="E11" s="141" t="s">
        <v>70</v>
      </c>
      <c r="F11" s="192" t="n">
        <v>4741</v>
      </c>
      <c r="G11" s="189" t="n"/>
      <c r="H11" s="141" t="s">
        <v>60</v>
      </c>
      <c r="I11" s="192" t="n">
        <v>1221637</v>
      </c>
    </row>
    <row customFormat="1" customHeight="1" ht="12.75" r="12" s="93" spans="1:9">
      <c r="A12" s="189" t="n"/>
      <c r="B12" s="141" t="n"/>
      <c r="C12" s="194" t="n"/>
      <c r="D12" s="194" t="n"/>
      <c r="E12" s="141" t="n"/>
      <c r="F12" s="194" t="n"/>
      <c r="G12" s="189" t="n"/>
      <c r="H12" s="141" t="n"/>
      <c r="I12" s="194" t="n"/>
    </row>
    <row customFormat="1" customHeight="1" ht="12.75" r="13" s="93" spans="1:9">
      <c r="A13" s="189" t="n"/>
      <c r="B13" s="141" t="n"/>
      <c r="C13" s="194" t="n"/>
      <c r="D13" s="194" t="n"/>
      <c r="E13" s="141" t="n"/>
      <c r="F13" s="194" t="n"/>
      <c r="G13" s="189" t="n"/>
      <c r="H13" s="141" t="n"/>
      <c r="I13" s="194" t="n"/>
    </row>
    <row customFormat="1" customHeight="1" ht="12.75" r="14" s="93" spans="1:9">
      <c r="A14" s="189" t="n"/>
      <c r="B14" s="189" t="n"/>
      <c r="C14" s="290" t="n"/>
      <c r="D14" s="290" t="n"/>
      <c r="E14" s="141" t="n"/>
      <c r="F14" s="290" t="n"/>
      <c r="G14" s="189" t="n"/>
      <c r="H14" s="141" t="n"/>
      <c r="I14" s="290" t="n"/>
    </row>
    <row customFormat="1" customHeight="1" ht="21" r="15" s="93" spans="1:9">
      <c r="A15" s="189" t="s">
        <v>72</v>
      </c>
      <c r="B15" s="141" t="s">
        <v>34</v>
      </c>
      <c r="C15" s="192" t="n">
        <v>91887</v>
      </c>
      <c r="D15" s="194" t="n"/>
      <c r="E15" s="189" t="n"/>
      <c r="F15" s="194" t="n"/>
      <c r="G15" s="189" t="n"/>
      <c r="H15" s="141" t="s">
        <v>60</v>
      </c>
      <c r="I15" s="192" t="n">
        <v>660331</v>
      </c>
    </row>
    <row customFormat="1" customHeight="1" ht="12.75" r="16" s="93" spans="1:9">
      <c r="A16" s="189" t="n"/>
      <c r="B16" s="141" t="n"/>
      <c r="C16" s="194" t="n"/>
      <c r="D16" s="194" t="n"/>
      <c r="E16" s="189" t="n"/>
      <c r="F16" s="194" t="n"/>
      <c r="G16" s="189" t="n"/>
      <c r="H16" s="141" t="n"/>
      <c r="I16" s="194" t="n"/>
    </row>
    <row customFormat="1" customHeight="1" ht="12.75" r="17" s="93" spans="1:9">
      <c r="A17" s="189" t="n"/>
      <c r="B17" s="141" t="n"/>
      <c r="C17" s="194" t="n"/>
      <c r="D17" s="194" t="n"/>
      <c r="E17" s="189" t="n"/>
      <c r="F17" s="194" t="n"/>
      <c r="G17" s="189" t="n"/>
      <c r="H17" s="141" t="n"/>
      <c r="I17" s="194" t="n"/>
    </row>
    <row customFormat="1" customHeight="1" ht="12.75" r="18" s="93" spans="1:9">
      <c r="A18" s="189" t="n"/>
      <c r="B18" s="189" t="n"/>
      <c r="C18" s="290" t="n"/>
      <c r="D18" s="290" t="n"/>
      <c r="E18" s="189" t="n"/>
      <c r="F18" s="290" t="n"/>
      <c r="G18" s="189" t="n"/>
      <c r="H18" s="189" t="n"/>
      <c r="I18" s="290" t="n"/>
    </row>
    <row customFormat="1" customHeight="1" ht="21" r="19" s="93" spans="1:9">
      <c r="A19" s="189" t="s">
        <v>73</v>
      </c>
      <c r="B19" s="141" t="s">
        <v>34</v>
      </c>
      <c r="C19" s="192" t="n">
        <v>20160</v>
      </c>
      <c r="D19" s="194" t="n"/>
      <c r="E19" s="189" t="n"/>
      <c r="F19" s="194" t="n"/>
      <c r="G19" s="189" t="n"/>
      <c r="H19" s="141" t="s">
        <v>60</v>
      </c>
      <c r="I19" s="192" t="n">
        <v>990145</v>
      </c>
    </row>
    <row customFormat="1" customHeight="1" ht="12.75" r="20" s="93" spans="1:9">
      <c r="A20" s="189" t="n"/>
      <c r="B20" s="141" t="n"/>
      <c r="C20" s="194" t="n"/>
      <c r="D20" s="194" t="n"/>
      <c r="E20" s="189" t="n"/>
      <c r="F20" s="194" t="n"/>
      <c r="G20" s="189" t="n"/>
      <c r="H20" s="141" t="n"/>
      <c r="I20" s="194" t="n"/>
    </row>
    <row customFormat="1" customHeight="1" ht="12.75" r="21" s="93" spans="1:9">
      <c r="A21" s="189" t="n"/>
      <c r="B21" s="141" t="n"/>
      <c r="C21" s="194" t="n"/>
      <c r="D21" s="194" t="n"/>
      <c r="E21" s="189" t="n"/>
      <c r="F21" s="194" t="n"/>
      <c r="G21" s="189" t="n"/>
      <c r="H21" s="141" t="n"/>
      <c r="I21" s="194" t="n"/>
    </row>
    <row customFormat="1" customHeight="1" ht="12.75" r="22" s="93" spans="1:9">
      <c r="A22" s="189" t="n"/>
      <c r="B22" s="189" t="n"/>
      <c r="C22" s="290" t="n"/>
      <c r="D22" s="290" t="n"/>
      <c r="E22" s="189" t="n"/>
      <c r="F22" s="290" t="n"/>
      <c r="G22" s="189" t="n"/>
      <c r="H22" s="189" t="n"/>
      <c r="I22" s="290" t="n"/>
    </row>
    <row customFormat="1" customHeight="1" ht="21" r="23" s="93" spans="1:9">
      <c r="A23" s="189" t="s">
        <v>74</v>
      </c>
      <c r="B23" s="141" t="s">
        <v>34</v>
      </c>
      <c r="C23" s="192" t="n">
        <v>288887</v>
      </c>
      <c r="D23" s="194" t="n"/>
      <c r="E23" s="189" t="n"/>
      <c r="F23" s="194" t="n"/>
      <c r="G23" s="189" t="n"/>
      <c r="H23" s="189" t="n"/>
      <c r="I23" s="194" t="n"/>
    </row>
    <row customFormat="1" customHeight="1" ht="12.75" r="24" s="93" spans="1:9">
      <c r="A24" s="189" t="n"/>
      <c r="B24" s="141" t="n"/>
      <c r="C24" s="194" t="n"/>
      <c r="D24" s="194" t="n"/>
      <c r="E24" s="189" t="n"/>
      <c r="F24" s="194" t="n"/>
      <c r="G24" s="189" t="n"/>
      <c r="H24" s="189" t="n"/>
      <c r="I24" s="290" t="n"/>
    </row>
    <row customFormat="1" customHeight="1" ht="12.75" r="25" s="93" spans="1:9">
      <c r="A25" s="189" t="n"/>
      <c r="B25" s="141" t="n"/>
      <c r="C25" s="194" t="n"/>
      <c r="D25" s="194" t="n"/>
      <c r="E25" s="189" t="n"/>
      <c r="F25" s="194" t="n"/>
      <c r="G25" s="189" t="n"/>
      <c r="H25" s="189" t="n"/>
      <c r="I25" s="290" t="n"/>
    </row>
    <row customFormat="1" customHeight="1" ht="12.75" r="26" s="93" spans="1:9">
      <c r="A26" s="189" t="n"/>
      <c r="B26" s="189" t="n"/>
      <c r="C26" s="290" t="n"/>
      <c r="D26" s="290" t="n"/>
      <c r="E26" s="189" t="n"/>
      <c r="F26" s="290" t="n"/>
      <c r="G26" s="189" t="n"/>
      <c r="H26" s="189" t="n"/>
      <c r="I26" s="189" t="n"/>
    </row>
    <row customFormat="1" customHeight="1" ht="21" r="27" s="93" spans="1:9">
      <c r="A27" s="189" t="s">
        <v>75</v>
      </c>
      <c r="B27" s="141" t="s">
        <v>34</v>
      </c>
      <c r="C27" s="192" t="n">
        <v>24605</v>
      </c>
      <c r="D27" s="194" t="n"/>
      <c r="E27" s="189" t="n"/>
      <c r="F27" s="194" t="n"/>
      <c r="G27" s="189" t="n"/>
      <c r="H27" s="189" t="n"/>
      <c r="I27" s="194" t="n"/>
    </row>
    <row customFormat="1" customHeight="1" ht="12.75" r="28" s="93" spans="1:9">
      <c r="A28" s="189" t="n"/>
      <c r="B28" s="141" t="n"/>
      <c r="C28" s="194" t="n"/>
      <c r="D28" s="194" t="n"/>
      <c r="E28" s="189" t="n"/>
      <c r="F28" s="194" t="n"/>
      <c r="G28" s="189" t="n"/>
      <c r="H28" s="189" t="n"/>
      <c r="I28" s="290" t="n"/>
    </row>
    <row customFormat="1" customHeight="1" ht="12.75" r="29" s="93" spans="1:9">
      <c r="A29" s="189" t="n"/>
      <c r="B29" s="141" t="n"/>
      <c r="C29" s="194" t="n"/>
      <c r="D29" s="194" t="n"/>
      <c r="E29" s="189" t="n"/>
      <c r="F29" s="194" t="n"/>
      <c r="G29" s="189" t="n"/>
      <c r="H29" s="189" t="n"/>
      <c r="I29" s="290" t="n"/>
    </row>
    <row customFormat="1" customHeight="1" ht="12.75" r="30" s="93" spans="1:9">
      <c r="A30" s="189" t="n"/>
      <c r="B30" s="189" t="n"/>
      <c r="C30" s="290" t="n"/>
      <c r="D30" s="290" t="n"/>
      <c r="E30" s="189" t="n"/>
      <c r="F30" s="290" t="n"/>
      <c r="G30" s="189" t="n"/>
      <c r="H30" s="189" t="n"/>
      <c r="I30" s="189" t="n"/>
    </row>
    <row customFormat="1" customHeight="1" ht="21" r="31" s="93" spans="1:9">
      <c r="A31" s="189" t="s">
        <v>76</v>
      </c>
      <c r="B31" s="141" t="s">
        <v>34</v>
      </c>
      <c r="C31" s="192" t="n">
        <v>45273</v>
      </c>
      <c r="D31" s="194" t="n"/>
      <c r="E31" s="189" t="n"/>
      <c r="F31" s="194" t="n"/>
      <c r="G31" s="189" t="n"/>
      <c r="H31" s="189" t="n"/>
      <c r="I31" s="194" t="n"/>
    </row>
    <row customFormat="1" customHeight="1" ht="12.75" r="32" s="93" spans="1:9">
      <c r="A32" s="189" t="n"/>
      <c r="B32" s="141" t="n"/>
      <c r="C32" s="194" t="n"/>
      <c r="D32" s="194" t="n"/>
      <c r="E32" s="189" t="n"/>
      <c r="F32" s="194" t="n"/>
      <c r="G32" s="189" t="n"/>
      <c r="H32" s="189" t="n"/>
      <c r="I32" s="290" t="n"/>
    </row>
    <row customFormat="1" customHeight="1" ht="12.75" r="33" s="93" spans="1:9">
      <c r="A33" s="189" t="n"/>
      <c r="B33" s="141" t="n"/>
      <c r="C33" s="194" t="n"/>
      <c r="D33" s="194" t="n"/>
      <c r="E33" s="189" t="n"/>
      <c r="F33" s="194" t="n"/>
      <c r="G33" s="189" t="n"/>
      <c r="H33" s="189" t="n"/>
      <c r="I33" s="290" t="n"/>
    </row>
    <row customFormat="1" customHeight="1" ht="12.75" r="34" s="93" spans="1:9">
      <c r="A34" s="189" t="n"/>
      <c r="B34" s="189" t="n"/>
      <c r="C34" s="290" t="n"/>
      <c r="D34" s="290" t="n"/>
      <c r="E34" s="189" t="n"/>
      <c r="F34" s="290" t="n"/>
      <c r="G34" s="189" t="n"/>
      <c r="H34" s="189" t="n"/>
      <c r="I34" s="189" t="n"/>
    </row>
    <row customFormat="1" customHeight="1" ht="21" r="35" s="93" spans="1:9">
      <c r="A35" s="189" t="s">
        <v>77</v>
      </c>
      <c r="B35" s="141" t="s">
        <v>34</v>
      </c>
      <c r="C35" s="192" t="n">
        <v>39799</v>
      </c>
      <c r="D35" s="194" t="n"/>
      <c r="E35" s="189" t="n"/>
      <c r="F35" s="194" t="n"/>
      <c r="G35" s="189" t="n"/>
      <c r="H35" s="189" t="n"/>
      <c r="I35" s="194" t="n"/>
    </row>
    <row customFormat="1" customHeight="1" ht="12.75" r="36" s="93" spans="1:9">
      <c r="A36" s="189" t="n"/>
      <c r="B36" s="141" t="n"/>
      <c r="C36" s="194" t="n"/>
      <c r="D36" s="194" t="n"/>
      <c r="E36" s="189" t="n"/>
      <c r="F36" s="194" t="n"/>
      <c r="G36" s="189" t="n"/>
      <c r="H36" s="189" t="n"/>
      <c r="I36" s="290" t="n"/>
    </row>
    <row customFormat="1" customHeight="1" ht="12.75" r="37" s="93" spans="1:9">
      <c r="A37" s="189" t="n"/>
      <c r="B37" s="141" t="n"/>
      <c r="C37" s="194" t="n"/>
      <c r="D37" s="194" t="n"/>
      <c r="E37" s="189" t="n"/>
      <c r="F37" s="194" t="n"/>
      <c r="G37" s="189" t="n"/>
      <c r="H37" s="189" t="n"/>
      <c r="I37" s="290" t="n"/>
    </row>
    <row customFormat="1" customHeight="1" ht="12.75" r="38" s="93" spans="1:9">
      <c r="A38" s="189" t="n"/>
      <c r="B38" s="189" t="n"/>
      <c r="C38" s="290" t="n"/>
      <c r="D38" s="290" t="n"/>
      <c r="E38" s="189" t="n"/>
      <c r="F38" s="290" t="n"/>
      <c r="G38" s="189" t="n"/>
      <c r="H38" s="189" t="n"/>
      <c r="I38" s="189" t="n"/>
    </row>
    <row customFormat="1" customHeight="1" ht="21" r="39" s="93" spans="1:9">
      <c r="A39" s="189" t="s">
        <v>78</v>
      </c>
      <c r="B39" s="141" t="s">
        <v>34</v>
      </c>
      <c r="C39" s="192" t="n">
        <v>60674</v>
      </c>
      <c r="D39" s="194" t="n"/>
      <c r="E39" s="189" t="n"/>
      <c r="F39" s="194" t="n"/>
      <c r="G39" s="189" t="n"/>
      <c r="H39" s="141" t="s">
        <v>60</v>
      </c>
      <c r="I39" s="192" t="n">
        <v>329898</v>
      </c>
    </row>
    <row customFormat="1" customHeight="1" ht="12.75" r="40" s="93" spans="1:9">
      <c r="A40" s="189" t="n"/>
      <c r="B40" s="141" t="n"/>
      <c r="C40" s="194" t="n"/>
      <c r="D40" s="194" t="n"/>
      <c r="E40" s="189" t="n"/>
      <c r="F40" s="194" t="n"/>
      <c r="G40" s="189" t="n"/>
      <c r="H40" s="141" t="n"/>
      <c r="I40" s="194" t="n"/>
    </row>
    <row customFormat="1" customHeight="1" ht="12.75" r="41" s="93" spans="1:9">
      <c r="A41" s="189" t="n"/>
      <c r="B41" s="141" t="n"/>
      <c r="C41" s="194" t="n"/>
      <c r="D41" s="194" t="n"/>
      <c r="E41" s="189" t="n"/>
      <c r="F41" s="194" t="n"/>
      <c r="G41" s="189" t="n"/>
      <c r="H41" s="141" t="n"/>
      <c r="I41" s="194" t="n"/>
    </row>
    <row customFormat="1" customHeight="1" ht="12.75" r="42" s="93" spans="1:9">
      <c r="A42" s="189" t="n"/>
      <c r="B42" s="189" t="n"/>
      <c r="C42" s="290" t="n"/>
      <c r="D42" s="290" t="n"/>
      <c r="E42" s="189" t="n"/>
      <c r="F42" s="290" t="n"/>
      <c r="G42" s="189" t="n"/>
      <c r="H42" s="189" t="n"/>
      <c r="I42" s="290" t="n"/>
    </row>
    <row customFormat="1" customHeight="1" ht="21" r="43" s="93" spans="1:9">
      <c r="A43" s="189" t="s">
        <v>79</v>
      </c>
      <c r="B43" s="141" t="s">
        <v>34</v>
      </c>
      <c r="C43" s="192" t="n">
        <v>47599</v>
      </c>
      <c r="D43" s="194" t="n"/>
      <c r="E43" s="189" t="n"/>
      <c r="F43" s="194" t="n"/>
      <c r="G43" s="189" t="n"/>
      <c r="H43" s="189" t="n"/>
      <c r="I43" s="189" t="n"/>
    </row>
    <row customFormat="1" customHeight="1" ht="12.75" r="44" s="93" spans="1:9">
      <c r="A44" s="189" t="n"/>
      <c r="B44" s="141" t="n"/>
      <c r="C44" s="194" t="n"/>
      <c r="D44" s="194" t="n"/>
      <c r="E44" s="189" t="n"/>
      <c r="F44" s="194" t="n"/>
      <c r="G44" s="189" t="n"/>
      <c r="H44" s="189" t="n"/>
      <c r="I44" s="194" t="n"/>
    </row>
    <row customFormat="1" customHeight="1" ht="12.75" r="45" s="93" spans="1:9">
      <c r="A45" s="189" t="n"/>
      <c r="B45" s="141" t="n"/>
      <c r="C45" s="194" t="n"/>
      <c r="D45" s="194" t="n"/>
      <c r="E45" s="189" t="n"/>
      <c r="F45" s="194" t="n"/>
      <c r="G45" s="189" t="n"/>
      <c r="H45" s="189" t="n"/>
      <c r="I45" s="194" t="n"/>
    </row>
    <row customFormat="1" customHeight="1" ht="12.75" r="46" s="93" spans="1:9">
      <c r="A46" s="189" t="n"/>
      <c r="B46" s="189" t="n"/>
      <c r="C46" s="290" t="n"/>
      <c r="D46" s="290" t="n"/>
      <c r="E46" s="189" t="n"/>
      <c r="F46" s="290" t="n"/>
      <c r="G46" s="189" t="n"/>
      <c r="H46" s="189" t="n"/>
      <c r="I46" s="290" t="n"/>
    </row>
    <row customFormat="1" customHeight="1" ht="21" r="47" s="93" spans="1:9">
      <c r="A47" s="189" t="s">
        <v>80</v>
      </c>
      <c r="B47" s="141" t="s">
        <v>34</v>
      </c>
      <c r="C47" s="192" t="n">
        <v>109408</v>
      </c>
      <c r="D47" s="194" t="n"/>
      <c r="E47" s="189" t="n"/>
      <c r="F47" s="194" t="n"/>
      <c r="G47" s="189" t="n"/>
      <c r="H47" s="189" t="n"/>
      <c r="I47" s="189" t="n"/>
    </row>
    <row customFormat="1" customHeight="1" ht="12.75" r="48" s="93" spans="1:9">
      <c r="A48" s="189" t="n"/>
      <c r="B48" s="141" t="n"/>
      <c r="C48" s="194" t="n"/>
      <c r="D48" s="194" t="n"/>
      <c r="E48" s="189" t="n"/>
      <c r="F48" s="189" t="n"/>
      <c r="G48" s="189" t="n"/>
      <c r="H48" s="189" t="n"/>
      <c r="I48" s="194" t="n"/>
    </row>
    <row customHeight="1" ht="12.75" r="49" s="146" spans="1:9">
      <c r="C49" s="291" t="n"/>
      <c r="D49" s="291" t="n"/>
      <c r="I49" s="291" t="n"/>
    </row>
    <row customHeight="1" ht="12.75" r="50" s="146" spans="1:9">
      <c r="I50" s="89" t="n"/>
    </row>
    <row customHeight="1" ht="12.75" r="51" s="146" spans="1:9">
      <c r="A51" s="189" t="s">
        <v>81</v>
      </c>
      <c r="B51" s="141" t="s">
        <v>34</v>
      </c>
      <c r="C51" s="192" t="n">
        <v>63988</v>
      </c>
      <c r="D51" s="194" t="n"/>
      <c r="E51" s="141" t="s">
        <v>70</v>
      </c>
      <c r="F51" s="192" t="n">
        <v>9726</v>
      </c>
    </row>
    <row customHeight="1" ht="12.75" r="52" s="146" spans="1:9">
      <c r="A52" s="189" t="n"/>
      <c r="B52" s="141" t="n"/>
      <c r="C52" s="194" t="n"/>
      <c r="D52" s="194" t="n"/>
      <c r="E52" s="141" t="n"/>
      <c r="F52" s="194" t="n"/>
    </row>
    <row r="55" spans="1:9">
      <c r="A55" s="103" t="n"/>
    </row>
    <row r="56" spans="1:9">
      <c r="A56" s="103" t="n"/>
    </row>
  </sheetData>
  <pageMargins bottom="0.5" footer="0.5" header="0.5" left="0" right="0" top="0.5"/>
  <pageSetup orientation="portrait" scale="83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O161"/>
  <sheetViews>
    <sheetView topLeftCell="A116" workbookViewId="0">
      <selection activeCell="C139" sqref="C139"/>
    </sheetView>
  </sheetViews>
  <sheetFormatPr baseColWidth="8" defaultRowHeight="12.75" outlineLevelCol="0"/>
  <cols>
    <col customWidth="1" max="1" min="1" style="146" width="20.140625"/>
    <col customWidth="1" max="7" min="2" style="146" width="11.7109375"/>
    <col bestFit="1" customWidth="1" max="8" min="8" style="146" width="10.140625"/>
    <col bestFit="1" customWidth="1" max="9" min="9" style="146" width="17.7109375"/>
    <col bestFit="1" customWidth="1" max="10" min="10" style="146" width="10"/>
    <col bestFit="1" customWidth="1" max="15" min="11" style="146" width="12"/>
  </cols>
  <sheetData>
    <row customHeight="1" ht="15.75" r="1" s="146" spans="1:15">
      <c r="A1" s="31" t="s">
        <v>82</v>
      </c>
    </row>
    <row r="2" spans="1:15">
      <c r="A2" s="205" t="n"/>
      <c r="B2" s="205" t="n"/>
      <c r="C2" s="205" t="n"/>
      <c r="D2" s="205" t="n"/>
      <c r="E2" s="205" t="n"/>
      <c r="F2" s="205" t="n"/>
    </row>
    <row customHeight="1" ht="25.5" r="3" s="146" spans="1:15">
      <c r="A3" s="2" t="s">
        <v>3</v>
      </c>
      <c r="B3" s="26" t="s">
        <v>4</v>
      </c>
      <c r="C3" s="195" t="s">
        <v>7</v>
      </c>
      <c r="D3" s="195" t="s">
        <v>43</v>
      </c>
      <c r="E3" s="197" t="s">
        <v>83</v>
      </c>
      <c r="F3" s="197" t="s">
        <v>84</v>
      </c>
      <c r="G3" s="197" t="s">
        <v>85</v>
      </c>
    </row>
    <row r="4" spans="1:15">
      <c r="A4" s="236" t="s">
        <v>86</v>
      </c>
      <c r="B4" s="202" t="s">
        <v>87</v>
      </c>
      <c r="C4" s="292">
        <f>IF(ISBLANK('Electric old'!G4),"-",'Electric old'!G4)</f>
        <v/>
      </c>
      <c r="D4" s="293" t="s">
        <v>88</v>
      </c>
      <c r="E4" s="292">
        <f>IF(ISBLANK('Water Old'!G4),"-",'Water Old'!G4)</f>
        <v/>
      </c>
      <c r="F4" s="293" t="s">
        <v>88</v>
      </c>
      <c r="G4" s="293" t="s">
        <v>88</v>
      </c>
    </row>
    <row r="5" spans="1:15">
      <c r="B5" s="202" t="s">
        <v>89</v>
      </c>
      <c r="C5" s="292">
        <f>IF(ISBLANK('Electric old'!G5),"-",'Electric old'!G5)</f>
        <v/>
      </c>
      <c r="D5" s="293" t="s">
        <v>88</v>
      </c>
      <c r="E5" s="292">
        <f>IF(ISBLANK('Water Old'!G5),"-",'Water Old'!G5)</f>
        <v/>
      </c>
      <c r="F5" s="293" t="s">
        <v>88</v>
      </c>
      <c r="G5" s="293" t="s">
        <v>88</v>
      </c>
      <c r="H5" t="s">
        <v>18</v>
      </c>
    </row>
    <row r="6" spans="1:15">
      <c r="B6" s="202" t="s">
        <v>90</v>
      </c>
      <c r="C6" s="292">
        <f>IF(ISBLANK('Electric old'!G6),"-",'Electric old'!G6)</f>
        <v/>
      </c>
      <c r="D6" s="293" t="s">
        <v>88</v>
      </c>
      <c r="E6" s="292">
        <f>IF(ISBLANK('Water Old'!G6),"-",'Water Old'!G6)</f>
        <v/>
      </c>
      <c r="F6" s="292">
        <f>SUM(C6:E6)</f>
        <v/>
      </c>
      <c r="G6" s="294">
        <f>F6</f>
        <v/>
      </c>
    </row>
    <row r="7" spans="1:15">
      <c r="B7" s="202" t="s">
        <v>91</v>
      </c>
      <c r="C7" s="292">
        <f>IF(ISBLANK('Electric old'!G7),"-",'Electric old'!G7)</f>
        <v/>
      </c>
      <c r="D7" s="292">
        <f>IF(ISBLANK(4/24*('Gas Old'!$H$4+'Gas Old'!$H$13)),"-",4/24*('Gas Old'!$H$4+'Gas Old'!$H$13))</f>
        <v/>
      </c>
      <c r="E7" s="292">
        <f>IF(ISBLANK('Water Old'!G7),"-",'Water Old'!G7)</f>
        <v/>
      </c>
      <c r="F7" s="292">
        <f>SUM(C7:E7)</f>
        <v/>
      </c>
      <c r="G7" s="294">
        <f>F7+G6</f>
        <v/>
      </c>
    </row>
    <row r="8" spans="1:15">
      <c r="B8" s="202" t="s">
        <v>92</v>
      </c>
      <c r="C8" s="292">
        <f>IF(ISBLANK('Electric old'!G8),"-",'Electric old'!G8)</f>
        <v/>
      </c>
      <c r="D8" s="292">
        <f>IF(ISBLANK(4/24*('Gas Old'!$H$5+'Gas Old'!$H$14)),"-",4/24*('Gas Old'!$H$5+'Gas Old'!$H$14))</f>
        <v/>
      </c>
      <c r="E8" s="292">
        <f>IF(ISBLANK('Water Old'!G8),"-",'Water Old'!G8)</f>
        <v/>
      </c>
      <c r="F8" s="292">
        <f>SUM(C8:E8)</f>
        <v/>
      </c>
      <c r="G8" s="294">
        <f>F8+G7</f>
        <v/>
      </c>
    </row>
    <row r="9" spans="1:15">
      <c r="B9" s="202" t="s">
        <v>93</v>
      </c>
      <c r="C9" s="292">
        <f>IF(ISBLANK('Electric old'!G9),"-",'Electric old'!G9)</f>
        <v/>
      </c>
      <c r="D9" s="292">
        <f>IF(ISBLANK(4/24*('Gas Old'!$H$6+'Gas Old'!$H$15)),"-",4/24*('Gas Old'!$H$6+'Gas Old'!$H$15))</f>
        <v/>
      </c>
      <c r="E9" s="292">
        <f>IF(ISBLANK('Water Old'!G9),"-",'Water Old'!G9)</f>
        <v/>
      </c>
      <c r="F9" s="292">
        <f>SUM(C9:E9)</f>
        <v/>
      </c>
      <c r="G9" s="294">
        <f>F9+G8</f>
        <v/>
      </c>
    </row>
    <row r="10" spans="1:15">
      <c r="B10" s="202" t="s">
        <v>94</v>
      </c>
      <c r="C10" s="292">
        <f>IF(ISBLANK('Electric old'!G10),"-",'Electric old'!G10)</f>
        <v/>
      </c>
      <c r="D10" s="292">
        <f>IF(ISBLANK(4/24*('Gas Old'!$H$7+'Gas Old'!$H$16)),"-",4/24*('Gas Old'!$H$7+'Gas Old'!$H$16))</f>
        <v/>
      </c>
      <c r="E10" s="292">
        <f>IF(ISBLANK('Water Old'!G10),"-",'Water Old'!G10)</f>
        <v/>
      </c>
      <c r="F10" s="292">
        <f>SUM(C10:E10)</f>
        <v/>
      </c>
      <c r="G10" s="294">
        <f>F10+G9</f>
        <v/>
      </c>
    </row>
    <row r="11" spans="1:15">
      <c r="B11" s="202" t="s">
        <v>95</v>
      </c>
      <c r="C11" s="292">
        <f>IF(ISBLANK('Electric old'!G11),"-",'Electric old'!G11)</f>
        <v/>
      </c>
      <c r="D11" s="292">
        <f>IF(ISBLANK(4/24*('Gas Old'!$H$8+'Gas Old'!$H$17)),"-",4/24*('Gas Old'!$H$8+'Gas Old'!$H$17))</f>
        <v/>
      </c>
      <c r="E11" s="292">
        <f>IF(ISBLANK('Water Old'!G11),"-",'Water Old'!G11)</f>
        <v/>
      </c>
      <c r="F11" s="292">
        <f>SUM(C11:E11)</f>
        <v/>
      </c>
      <c r="G11" s="294">
        <f>F11+G10</f>
        <v/>
      </c>
      <c r="H11" s="295" t="n"/>
    </row>
    <row r="12" spans="1:15">
      <c r="B12" s="202" t="s">
        <v>96</v>
      </c>
      <c r="C12" s="292">
        <f>IF(ISBLANK('Electric old'!G12),"-",'Electric old'!G12)</f>
        <v/>
      </c>
      <c r="D12" s="292">
        <f>IF(ISBLANK(4/24*('Gas Old'!$H$9+'Gas Old'!$H$18)),"-",4/24*('Gas Old'!$H$9+'Gas Old'!$H$18))</f>
        <v/>
      </c>
      <c r="E12" s="292">
        <f>IF(ISBLANK('Water Old'!G12),"-",'Water Old'!G12)</f>
        <v/>
      </c>
      <c r="F12" s="292">
        <f>SUM(C12:E12)</f>
        <v/>
      </c>
      <c r="G12" s="294">
        <f>F12+G11</f>
        <v/>
      </c>
    </row>
    <row r="13" spans="1:15">
      <c r="B13" s="202" t="s">
        <v>97</v>
      </c>
      <c r="C13" s="292">
        <f>IF(ISBLANK('Electric old'!G13),"-",'Electric old'!G13)</f>
        <v/>
      </c>
      <c r="D13" s="292">
        <f>IF(ISBLANK(4/24*('Gas Old'!$H$10+'Gas Old'!$H$19)),"-",4/24*('Gas Old'!$H$10+'Gas Old'!$H$19))</f>
        <v/>
      </c>
      <c r="E13" s="292">
        <f>IF(ISBLANK('Water Old'!G13),"-",'Water Old'!G13)</f>
        <v/>
      </c>
      <c r="F13" s="292">
        <f>SUM(C13:E13)</f>
        <v/>
      </c>
      <c r="G13" s="294">
        <f>F13+G12</f>
        <v/>
      </c>
    </row>
    <row r="14" spans="1:15">
      <c r="B14" s="202" t="s">
        <v>98</v>
      </c>
      <c r="C14" s="292">
        <f>IF(ISBLANK('Electric old'!G14),"-",'Electric old'!G14)</f>
        <v/>
      </c>
      <c r="D14" s="292">
        <f>IF(ISBLANK(4/24*('Gas Old'!$H$11+'Gas Old'!$H$20)),"-",4/24*('Gas Old'!$H$11+'Gas Old'!$H$20))</f>
        <v/>
      </c>
      <c r="E14" s="292">
        <f>IF(ISBLANK('Water Old'!G14),"-",'Water Old'!G14)</f>
        <v/>
      </c>
      <c r="F14" s="292">
        <f>SUM(C14:E14)</f>
        <v/>
      </c>
      <c r="G14" s="294">
        <f>F14+G13</f>
        <v/>
      </c>
    </row>
    <row r="15" spans="1:15">
      <c r="B15" s="202" t="s">
        <v>99</v>
      </c>
      <c r="C15" s="292">
        <f>IF(ISBLANK('Electric old'!G15),"-",'Electric old'!G15)</f>
        <v/>
      </c>
      <c r="D15" s="292">
        <f>IF(ISBLANK(4/24*('Gas Old'!$H$12+'Gas Old'!$H$21)),"-",4/24*('Gas Old'!$H$12+'Gas Old'!$H$21))</f>
        <v/>
      </c>
      <c r="E15" s="292">
        <f>IF(ISBLANK('Water Old'!G15),"-",'Water Old'!G15)</f>
        <v/>
      </c>
      <c r="F15" s="292">
        <f>SUM(C15:E15)</f>
        <v/>
      </c>
      <c r="G15" s="294">
        <f>F15+G14</f>
        <v/>
      </c>
    </row>
    <row r="16" spans="1:15">
      <c r="A16" s="236" t="s">
        <v>71</v>
      </c>
      <c r="B16" s="48">
        <f>B4</f>
        <v/>
      </c>
      <c r="C16" s="292">
        <f>IF(ISBLANK('Electric old'!G16),"-",'Electric old'!G16)</f>
        <v/>
      </c>
      <c r="D16" s="293" t="s">
        <v>88</v>
      </c>
      <c r="E16" s="292">
        <f>IF(ISBLANK('Water Old'!G16),"-",'Water Old'!G16)</f>
        <v/>
      </c>
      <c r="F16" s="293" t="s">
        <v>88</v>
      </c>
      <c r="G16" s="293" t="s">
        <v>88</v>
      </c>
    </row>
    <row r="17" spans="1:15">
      <c r="B17" s="48">
        <f>B5</f>
        <v/>
      </c>
      <c r="C17" s="292">
        <f>IF(ISBLANK('Electric old'!G17),"-",'Electric old'!G17)</f>
        <v/>
      </c>
      <c r="D17" s="293" t="s">
        <v>88</v>
      </c>
      <c r="E17" s="292">
        <f>IF(ISBLANK('Water Old'!G17),"-",'Water Old'!G17)</f>
        <v/>
      </c>
      <c r="F17" s="293" t="s">
        <v>88</v>
      </c>
      <c r="G17" s="293" t="s">
        <v>88</v>
      </c>
    </row>
    <row r="18" spans="1:15">
      <c r="B18" s="48">
        <f>B6</f>
        <v/>
      </c>
      <c r="C18" s="292">
        <f>IF(ISBLANK('Electric old'!G18),"-",'Electric old'!G18)</f>
        <v/>
      </c>
      <c r="D18" s="293" t="s">
        <v>88</v>
      </c>
      <c r="E18" s="292">
        <f>IF(ISBLANK('Water Old'!G18),"-",'Water Old'!G18)</f>
        <v/>
      </c>
      <c r="F18" s="292">
        <f>SUM(C18:E18)</f>
        <v/>
      </c>
      <c r="G18" s="294">
        <f>F18</f>
        <v/>
      </c>
    </row>
    <row r="19" spans="1:15">
      <c r="B19" s="48">
        <f>B7</f>
        <v/>
      </c>
      <c r="C19" s="292">
        <f>IF(ISBLANK('Electric old'!G19),"-",'Electric old'!G19)</f>
        <v/>
      </c>
      <c r="D19" s="292">
        <f>IF(ISBLANK(4/24*('Gas Old'!$H$4+'Gas Old'!$H$13)),"-",4/24*('Gas Old'!$H$4+'Gas Old'!$H$13))</f>
        <v/>
      </c>
      <c r="E19" s="292">
        <f>IF(ISBLANK('Water Old'!G19),"-",'Water Old'!G19)</f>
        <v/>
      </c>
      <c r="F19" s="292">
        <f>SUM(C19:E19)</f>
        <v/>
      </c>
      <c r="G19" s="294">
        <f>F19+G18</f>
        <v/>
      </c>
    </row>
    <row r="20" spans="1:15">
      <c r="B20" s="48">
        <f>B8</f>
        <v/>
      </c>
      <c r="C20" s="292">
        <f>IF(ISBLANK('Electric old'!G20),"-",'Electric old'!G20)</f>
        <v/>
      </c>
      <c r="D20" s="292">
        <f>IF(ISBLANK(4/24*('Gas Old'!$H$5+'Gas Old'!$H$14)),"-",4/24*('Gas Old'!$H$5+'Gas Old'!$H$14))</f>
        <v/>
      </c>
      <c r="E20" s="292">
        <f>IF(ISBLANK('Water Old'!G20),"-",'Water Old'!G20)</f>
        <v/>
      </c>
      <c r="F20" s="292">
        <f>SUM(C20:E20)</f>
        <v/>
      </c>
      <c r="G20" s="294">
        <f>F20+G19</f>
        <v/>
      </c>
    </row>
    <row r="21" spans="1:15">
      <c r="B21" s="48">
        <f>B9</f>
        <v/>
      </c>
      <c r="C21" s="292">
        <f>IF(ISBLANK('Electric old'!G21),"-",'Electric old'!G21)</f>
        <v/>
      </c>
      <c r="D21" s="292">
        <f>IF(ISBLANK(4/24*('Gas Old'!$H$6+'Gas Old'!$H$15)),"-",4/24*('Gas Old'!$H$6+'Gas Old'!$H$15))</f>
        <v/>
      </c>
      <c r="E21" s="292">
        <f>IF(ISBLANK('Water Old'!G21),"-",'Water Old'!G21)</f>
        <v/>
      </c>
      <c r="F21" s="292">
        <f>SUM(C21:E21)</f>
        <v/>
      </c>
      <c r="G21" s="294">
        <f>F21+G20</f>
        <v/>
      </c>
    </row>
    <row r="22" spans="1:15">
      <c r="B22" s="48">
        <f>B10</f>
        <v/>
      </c>
      <c r="C22" s="292">
        <f>IF(ISBLANK('Electric old'!G22),"-",'Electric old'!G22)</f>
        <v/>
      </c>
      <c r="D22" s="292">
        <f>IF(ISBLANK(4/24*('Gas Old'!$H$7+'Gas Old'!$H$16)),"-",4/24*('Gas Old'!$H$7+'Gas Old'!$H$16))</f>
        <v/>
      </c>
      <c r="E22" s="292">
        <f>IF(ISBLANK('Water Old'!G22),"-",'Water Old'!G22)</f>
        <v/>
      </c>
      <c r="F22" s="292">
        <f>SUM(C22:E22)</f>
        <v/>
      </c>
      <c r="G22" s="294">
        <f>F22+G21</f>
        <v/>
      </c>
    </row>
    <row r="23" spans="1:15">
      <c r="B23" s="48">
        <f>B11</f>
        <v/>
      </c>
      <c r="C23" s="292">
        <f>IF(ISBLANK('Electric old'!G23),"-",'Electric old'!G23)</f>
        <v/>
      </c>
      <c r="D23" s="292">
        <f>IF(ISBLANK(4/24*('Gas Old'!$H$8+'Gas Old'!$H$17)),"-",4/24*('Gas Old'!$H$8+'Gas Old'!$H$17))</f>
        <v/>
      </c>
      <c r="E23" s="292">
        <f>IF(ISBLANK('Water Old'!G23),"-",'Water Old'!G23)</f>
        <v/>
      </c>
      <c r="F23" s="292">
        <f>SUM(C23:E23)</f>
        <v/>
      </c>
      <c r="G23" s="294">
        <f>F23+G22</f>
        <v/>
      </c>
      <c r="I23" t="s">
        <v>18</v>
      </c>
    </row>
    <row r="24" spans="1:15">
      <c r="B24" s="48">
        <f>B12</f>
        <v/>
      </c>
      <c r="C24" s="292">
        <f>IF(ISBLANK('Electric old'!G24),"-",'Electric old'!G24)</f>
        <v/>
      </c>
      <c r="D24" s="292">
        <f>IF(ISBLANK(4/24*('Gas Old'!$H9+'Gas Old'!$H18)),"-",4/24*('Gas Old'!$H9+'Gas Old'!$H18))</f>
        <v/>
      </c>
      <c r="E24" s="292">
        <f>IF(ISBLANK('Water Old'!G24),"-",'Water Old'!G24)</f>
        <v/>
      </c>
      <c r="F24" s="292">
        <f>SUM(C24:E24)</f>
        <v/>
      </c>
      <c r="G24" s="294">
        <f>F24+G23</f>
        <v/>
      </c>
    </row>
    <row r="25" spans="1:15">
      <c r="B25" s="48">
        <f>B13</f>
        <v/>
      </c>
      <c r="C25" s="292">
        <f>IF(ISBLANK('Electric old'!G25),"-",'Electric old'!G25)</f>
        <v/>
      </c>
      <c r="D25" s="292">
        <f>IF(ISBLANK(4/24*('Gas Old'!$H10+'Gas Old'!$H19)),"-",4/24*('Gas Old'!$H10+'Gas Old'!$H19))</f>
        <v/>
      </c>
      <c r="E25" s="292">
        <f>IF(ISBLANK('Water Old'!G25),"-",'Water Old'!G25)</f>
        <v/>
      </c>
      <c r="F25" s="292">
        <f>SUM(C25:E25)</f>
        <v/>
      </c>
      <c r="G25" s="294">
        <f>F25+G24</f>
        <v/>
      </c>
    </row>
    <row r="26" spans="1:15">
      <c r="B26" s="48">
        <f>B14</f>
        <v/>
      </c>
      <c r="C26" s="292">
        <f>IF(ISBLANK('Electric old'!G26),"-",'Electric old'!G26)</f>
        <v/>
      </c>
      <c r="D26" s="292">
        <f>IF(ISBLANK(4/24*('Gas Old'!$H11+'Gas Old'!$H20)),"-",4/24*('Gas Old'!$H11+'Gas Old'!$H20))</f>
        <v/>
      </c>
      <c r="E26" s="292">
        <f>IF(ISBLANK('Water Old'!G26),"-",'Water Old'!G26)</f>
        <v/>
      </c>
      <c r="F26" s="292">
        <f>SUM(C26:E26)</f>
        <v/>
      </c>
      <c r="G26" s="294">
        <f>F26+G25</f>
        <v/>
      </c>
    </row>
    <row r="27" spans="1:15">
      <c r="B27" s="48">
        <f>B15</f>
        <v/>
      </c>
      <c r="C27" s="292">
        <f>IF(ISBLANK('Electric old'!G27),"-",'Electric old'!G27)</f>
        <v/>
      </c>
      <c r="D27" s="292">
        <f>IF(ISBLANK(4/24*('Gas Old'!$H$12+'Gas Old'!$H$21)),"-",4/24*('Gas Old'!$H$12+'Gas Old'!$H$21))</f>
        <v/>
      </c>
      <c r="E27" s="292">
        <f>IF(ISBLANK('Water Old'!G27),"-",'Water Old'!G27)</f>
        <v/>
      </c>
      <c r="F27" s="292">
        <f>SUM(C27:E27)</f>
        <v/>
      </c>
      <c r="G27" s="294">
        <f>F27+G26</f>
        <v/>
      </c>
    </row>
    <row r="28" spans="1:15">
      <c r="A28" s="236" t="s">
        <v>72</v>
      </c>
      <c r="B28" s="48">
        <f>B16</f>
        <v/>
      </c>
      <c r="C28" s="292">
        <f>IF(ISBLANK('Electric old'!G28),"-",'Electric old'!G28)</f>
        <v/>
      </c>
      <c r="D28" s="293" t="s">
        <v>88</v>
      </c>
      <c r="E28" s="292">
        <f>IF(ISBLANK('Water Old'!G28),"-",'Water Old'!G28)</f>
        <v/>
      </c>
      <c r="F28" s="293" t="s">
        <v>88</v>
      </c>
      <c r="G28" s="293" t="s">
        <v>88</v>
      </c>
    </row>
    <row r="29" spans="1:15">
      <c r="B29" s="48">
        <f>B17</f>
        <v/>
      </c>
      <c r="C29" s="292">
        <f>IF(ISBLANK('Electric old'!G29),"-",'Electric old'!G29)</f>
        <v/>
      </c>
      <c r="D29" s="293" t="s">
        <v>88</v>
      </c>
      <c r="E29" s="292">
        <f>IF(ISBLANK('Water Old'!G29),"-",'Water Old'!G29)</f>
        <v/>
      </c>
      <c r="F29" s="293" t="s">
        <v>88</v>
      </c>
      <c r="G29" s="293" t="s">
        <v>88</v>
      </c>
    </row>
    <row r="30" spans="1:15">
      <c r="B30" s="48">
        <f>B18</f>
        <v/>
      </c>
      <c r="C30" s="292">
        <f>IF(ISBLANK('Electric old'!G30),"-",'Electric old'!G30)</f>
        <v/>
      </c>
      <c r="D30" s="293" t="s">
        <v>88</v>
      </c>
      <c r="E30" s="292">
        <f>IF(ISBLANK('Water Old'!G30),"-",'Water Old'!G30)</f>
        <v/>
      </c>
      <c r="F30" s="292">
        <f>SUM(C30:E30)</f>
        <v/>
      </c>
      <c r="G30" s="294">
        <f>F30</f>
        <v/>
      </c>
    </row>
    <row r="31" spans="1:15">
      <c r="B31" s="48">
        <f>B19</f>
        <v/>
      </c>
      <c r="C31" s="292">
        <f>IF(ISBLANK('Electric old'!G31),"-",'Electric old'!G31)</f>
        <v/>
      </c>
      <c r="D31" s="292">
        <f>IF(ISBLANK(2/24*('Gas Old'!$H$4+'Gas Old'!$H$13)),"-",2/24*('Gas Old'!$H$4+'Gas Old'!$H$13))</f>
        <v/>
      </c>
      <c r="E31" s="292">
        <f>IF(ISBLANK('Water Old'!G31),"-",'Water Old'!G31)</f>
        <v/>
      </c>
      <c r="F31" s="292">
        <f>SUM(C31:E31)</f>
        <v/>
      </c>
      <c r="G31" s="294">
        <f>F31+G30</f>
        <v/>
      </c>
    </row>
    <row r="32" spans="1:15">
      <c r="B32" s="48">
        <f>B20</f>
        <v/>
      </c>
      <c r="C32" s="292">
        <f>IF(ISBLANK('Electric old'!G32),"-",'Electric old'!G32)</f>
        <v/>
      </c>
      <c r="D32" s="292">
        <f>IF(ISBLANK(2/24*('Gas Old'!$H$5+'Gas Old'!$H$14)),"-",2/24*('Gas Old'!$H$5+'Gas Old'!$H$14))</f>
        <v/>
      </c>
      <c r="E32" s="292">
        <f>IF(ISBLANK('Water Old'!G32),"-",'Water Old'!G32)</f>
        <v/>
      </c>
      <c r="F32" s="292">
        <f>SUM(C32:E32)</f>
        <v/>
      </c>
      <c r="G32" s="294">
        <f>F32+G31</f>
        <v/>
      </c>
    </row>
    <row r="33" spans="1:15">
      <c r="B33" s="48">
        <f>B21</f>
        <v/>
      </c>
      <c r="C33" s="292">
        <f>IF(ISBLANK('Electric old'!G33),"-",'Electric old'!G33)</f>
        <v/>
      </c>
      <c r="D33" s="292">
        <f>IF(ISBLANK(2/24*('Gas Old'!$H$6+'Gas Old'!$H$15)),"-",2/24*('Gas Old'!$H$6+'Gas Old'!$H$15))</f>
        <v/>
      </c>
      <c r="E33" s="292">
        <f>IF(ISBLANK('Water Old'!G33),"-",'Water Old'!G33)</f>
        <v/>
      </c>
      <c r="F33" s="292">
        <f>SUM(C33:E33)</f>
        <v/>
      </c>
      <c r="G33" s="294">
        <f>F33+G32</f>
        <v/>
      </c>
    </row>
    <row r="34" spans="1:15">
      <c r="B34" s="48">
        <f>B22</f>
        <v/>
      </c>
      <c r="C34" s="292">
        <f>IF(ISBLANK('Electric old'!G34),"-",'Electric old'!G34)</f>
        <v/>
      </c>
      <c r="D34" s="292">
        <f>IF(ISBLANK(2/24*('Gas Old'!$H$7+'Gas Old'!$H$16)),"-",2/24*('Gas Old'!$H$7+'Gas Old'!$H$16))</f>
        <v/>
      </c>
      <c r="E34" s="292">
        <f>IF(ISBLANK('Water Old'!G34),"-",'Water Old'!G34)</f>
        <v/>
      </c>
      <c r="F34" s="292">
        <f>SUM(C34:E34)</f>
        <v/>
      </c>
      <c r="G34" s="294">
        <f>F34+G33</f>
        <v/>
      </c>
    </row>
    <row r="35" spans="1:15">
      <c r="B35" s="48">
        <f>B23</f>
        <v/>
      </c>
      <c r="C35" s="292">
        <f>IF(ISBLANK('Electric old'!G35),"-",'Electric old'!G35)</f>
        <v/>
      </c>
      <c r="D35" s="292">
        <f>IF(ISBLANK(2/24*('Gas Old'!$H$8+'Gas Old'!$H$17)),"-",2/24*('Gas Old'!$H$8+'Gas Old'!$H$17))</f>
        <v/>
      </c>
      <c r="E35" s="292">
        <f>IF(ISBLANK('Water Old'!G35),"-",'Water Old'!G35)</f>
        <v/>
      </c>
      <c r="F35" s="292">
        <f>SUM(C35:E35)</f>
        <v/>
      </c>
      <c r="G35" s="294">
        <f>F35+G34</f>
        <v/>
      </c>
    </row>
    <row r="36" spans="1:15">
      <c r="B36" s="48">
        <f>B24</f>
        <v/>
      </c>
      <c r="C36" s="292">
        <f>IF(ISBLANK('Electric old'!G36),"-",'Electric old'!G36)</f>
        <v/>
      </c>
      <c r="D36" s="292">
        <f>IF(ISBLANK(2/24*('Gas Old'!$H9+'Gas Old'!$H18)),"-",2/24*('Gas Old'!$H9+'Gas Old'!$H18))</f>
        <v/>
      </c>
      <c r="E36" s="292">
        <f>IF(ISBLANK('Water Old'!G36),"-",'Water Old'!G36)</f>
        <v/>
      </c>
      <c r="F36" s="292">
        <f>SUM(C36:E36)</f>
        <v/>
      </c>
      <c r="G36" s="294">
        <f>F36+G35</f>
        <v/>
      </c>
    </row>
    <row r="37" spans="1:15">
      <c r="B37" s="48">
        <f>B25</f>
        <v/>
      </c>
      <c r="C37" s="292">
        <f>IF(ISBLANK('Electric old'!G37),"-",'Electric old'!G37)</f>
        <v/>
      </c>
      <c r="D37" s="292">
        <f>IF(ISBLANK(2/24*('Gas Old'!$H10+'Gas Old'!$H19)),"-",2/24*('Gas Old'!$H10+'Gas Old'!$H19))</f>
        <v/>
      </c>
      <c r="E37" s="292">
        <f>IF(ISBLANK('Water Old'!G37),"-",'Water Old'!G37)</f>
        <v/>
      </c>
      <c r="F37" s="292">
        <f>SUM(C37:E37)</f>
        <v/>
      </c>
      <c r="G37" s="294">
        <f>F37+G36</f>
        <v/>
      </c>
    </row>
    <row r="38" spans="1:15">
      <c r="B38" s="48">
        <f>B26</f>
        <v/>
      </c>
      <c r="C38" s="292">
        <f>IF(ISBLANK('Electric old'!G38),"-",'Electric old'!G38)</f>
        <v/>
      </c>
      <c r="D38" s="292">
        <f>IF(ISBLANK(2/24*('Gas Old'!$H11+'Gas Old'!$H20)),"-",2/24*('Gas Old'!$H11+'Gas Old'!$H20))</f>
        <v/>
      </c>
      <c r="E38" s="292">
        <f>IF(ISBLANK('Water Old'!G38),"-",'Water Old'!G38)</f>
        <v/>
      </c>
      <c r="F38" s="292">
        <f>SUM(C38:E38)</f>
        <v/>
      </c>
      <c r="G38" s="294">
        <f>F38+G37</f>
        <v/>
      </c>
    </row>
    <row r="39" spans="1:15">
      <c r="B39" s="48">
        <f>B27</f>
        <v/>
      </c>
      <c r="C39" s="292">
        <f>IF(ISBLANK('Electric old'!G39),"-",'Electric old'!G39)</f>
        <v/>
      </c>
      <c r="D39" s="292">
        <f>IF(ISBLANK(2/24*('Gas Old'!$H12+'Gas Old'!$H21)),"-",2/24*('Gas Old'!$H12+'Gas Old'!$H21))</f>
        <v/>
      </c>
      <c r="E39" s="292">
        <f>IF(ISBLANK('Water Old'!G39),"-",'Water Old'!G39)</f>
        <v/>
      </c>
      <c r="F39" s="292">
        <f>SUM(C39:E39)</f>
        <v/>
      </c>
      <c r="G39" s="294">
        <f>F39+G38</f>
        <v/>
      </c>
    </row>
    <row r="40" spans="1:15">
      <c r="A40" s="236" t="s">
        <v>73</v>
      </c>
      <c r="B40" s="48">
        <f>B28</f>
        <v/>
      </c>
      <c r="C40" s="292">
        <f>IF(ISBLANK('Electric old'!G40),"-",'Electric old'!G40)</f>
        <v/>
      </c>
      <c r="D40" s="293" t="s">
        <v>88</v>
      </c>
      <c r="E40" s="292">
        <f>IF(ISBLANK('Water Old'!G40),"-",'Water Old'!G40)</f>
        <v/>
      </c>
      <c r="F40" s="293" t="s">
        <v>88</v>
      </c>
      <c r="G40" s="293" t="s">
        <v>88</v>
      </c>
    </row>
    <row r="41" spans="1:15">
      <c r="B41" s="48">
        <f>B29</f>
        <v/>
      </c>
      <c r="C41" s="292">
        <f>IF(ISBLANK('Electric old'!G41),"-",'Electric old'!G41)</f>
        <v/>
      </c>
      <c r="D41" s="293" t="s">
        <v>88</v>
      </c>
      <c r="E41" s="292">
        <f>IF(ISBLANK('Water Old'!G41),"-",'Water Old'!G41)</f>
        <v/>
      </c>
      <c r="F41" s="293" t="s">
        <v>88</v>
      </c>
      <c r="G41" s="293" t="s">
        <v>88</v>
      </c>
    </row>
    <row r="42" spans="1:15">
      <c r="B42" s="48">
        <f>B30</f>
        <v/>
      </c>
      <c r="C42" s="292">
        <f>IF(ISBLANK('Electric old'!G42),"-",'Electric old'!G42)</f>
        <v/>
      </c>
      <c r="D42" s="293" t="s">
        <v>88</v>
      </c>
      <c r="E42" s="292">
        <f>IF(ISBLANK('Water Old'!G42),"-",'Water Old'!G42)</f>
        <v/>
      </c>
      <c r="F42" s="292">
        <f>SUM(C42:E42)</f>
        <v/>
      </c>
      <c r="G42" s="294">
        <f>F42</f>
        <v/>
      </c>
    </row>
    <row r="43" spans="1:15">
      <c r="B43" s="48">
        <f>B31</f>
        <v/>
      </c>
      <c r="C43" s="292">
        <f>IF(ISBLANK('Electric old'!G43),"-",'Electric old'!G43)</f>
        <v/>
      </c>
      <c r="D43" s="292">
        <f>IF(ISBLANK(2/24*('Gas Old'!$H$4+'Gas Old'!$H$13)),"-",2/24*('Gas Old'!$H$4+'Gas Old'!$H$13))</f>
        <v/>
      </c>
      <c r="E43" s="292">
        <f>IF(ISBLANK('Water Old'!G43),"-",'Water Old'!G43)</f>
        <v/>
      </c>
      <c r="F43" s="292">
        <f>SUM(C43:E43)</f>
        <v/>
      </c>
      <c r="G43" s="294">
        <f>F43+G42</f>
        <v/>
      </c>
    </row>
    <row r="44" spans="1:15">
      <c r="B44" s="48">
        <f>B32</f>
        <v/>
      </c>
      <c r="C44" s="292">
        <f>IF(ISBLANK('Electric old'!G44),"-",'Electric old'!G44)</f>
        <v/>
      </c>
      <c r="D44" s="292">
        <f>IF(ISBLANK(2/24*('Gas Old'!$H$5+'Gas Old'!$H$14)),"-",2/24*('Gas Old'!$H$5+'Gas Old'!$H$14))</f>
        <v/>
      </c>
      <c r="E44" s="292">
        <f>IF(ISBLANK('Water Old'!G44),"-",'Water Old'!G44)</f>
        <v/>
      </c>
      <c r="F44" s="292">
        <f>SUM(C44:E44)</f>
        <v/>
      </c>
      <c r="G44" s="294">
        <f>F44+G43</f>
        <v/>
      </c>
    </row>
    <row r="45" spans="1:15">
      <c r="B45" s="48">
        <f>B33</f>
        <v/>
      </c>
      <c r="C45" s="292">
        <f>IF(ISBLANK('Electric old'!G45),"-",'Electric old'!G45)</f>
        <v/>
      </c>
      <c r="D45" s="292">
        <f>IF(ISBLANK(2/24*('Gas Old'!$H$6+'Gas Old'!$H$15)),"-",2/24*('Gas Old'!$H$6+'Gas Old'!$H$15))</f>
        <v/>
      </c>
      <c r="E45" s="292">
        <f>IF(ISBLANK('Water Old'!G45),"-",'Water Old'!G45)</f>
        <v/>
      </c>
      <c r="F45" s="292">
        <f>SUM(C45:E45)</f>
        <v/>
      </c>
      <c r="G45" s="294">
        <f>F45+G44</f>
        <v/>
      </c>
    </row>
    <row r="46" spans="1:15">
      <c r="B46" s="48">
        <f>B34</f>
        <v/>
      </c>
      <c r="C46" s="292">
        <f>IF(ISBLANK('Electric old'!G46),"-",'Electric old'!G46)</f>
        <v/>
      </c>
      <c r="D46" s="292">
        <f>IF(ISBLANK(2/24*('Gas Old'!$H$7+'Gas Old'!$H$16)),"-",2/24*('Gas Old'!$H$7+'Gas Old'!$H$16))</f>
        <v/>
      </c>
      <c r="E46" s="292">
        <f>IF(ISBLANK('Water Old'!G46),"-",'Water Old'!G46)</f>
        <v/>
      </c>
      <c r="F46" s="292">
        <f>SUM(C46:E46)</f>
        <v/>
      </c>
      <c r="G46" s="294">
        <f>F46+G45</f>
        <v/>
      </c>
    </row>
    <row r="47" spans="1:15">
      <c r="B47" s="48">
        <f>B35</f>
        <v/>
      </c>
      <c r="C47" s="292">
        <f>IF(ISBLANK('Electric old'!G47),"-",'Electric old'!G47)</f>
        <v/>
      </c>
      <c r="D47" s="292">
        <f>IF(ISBLANK(2/24*('Gas Old'!$H$8+'Gas Old'!$H$17)),"-",2/24*('Gas Old'!$H$8+'Gas Old'!$H$17))</f>
        <v/>
      </c>
      <c r="E47" s="292">
        <f>IF(ISBLANK('Water Old'!G47),"-",'Water Old'!G47)</f>
        <v/>
      </c>
      <c r="F47" s="292">
        <f>SUM(C47:E47)</f>
        <v/>
      </c>
      <c r="G47" s="294">
        <f>F47+G46</f>
        <v/>
      </c>
    </row>
    <row r="48" spans="1:15">
      <c r="B48" s="48">
        <f>B36</f>
        <v/>
      </c>
      <c r="C48" s="292">
        <f>IF(ISBLANK('Electric old'!G48),"-",'Electric old'!G48)</f>
        <v/>
      </c>
      <c r="D48" s="292">
        <f>IF(ISBLANK(2/24*('Gas Old'!$H9+'Gas Old'!$H18)),"-",2/24*('Gas Old'!$H9+'Gas Old'!$H18))</f>
        <v/>
      </c>
      <c r="E48" s="292">
        <f>IF(ISBLANK('Water Old'!G48),"-",'Water Old'!G48)</f>
        <v/>
      </c>
      <c r="F48" s="292">
        <f>SUM(C48:E48)</f>
        <v/>
      </c>
      <c r="G48" s="294">
        <f>F48+G47</f>
        <v/>
      </c>
    </row>
    <row r="49" spans="1:15">
      <c r="B49" s="48">
        <f>B37</f>
        <v/>
      </c>
      <c r="C49" s="292">
        <f>IF(ISBLANK('Electric old'!G49),"-",'Electric old'!G49)</f>
        <v/>
      </c>
      <c r="D49" s="292">
        <f>IF(ISBLANK(2/24*('Gas Old'!$H10+'Gas Old'!$H19)),"-",2/24*('Gas Old'!$H10+'Gas Old'!$H19))</f>
        <v/>
      </c>
      <c r="E49" s="292">
        <f>IF(ISBLANK('Water Old'!G49),"-",'Water Old'!G49)</f>
        <v/>
      </c>
      <c r="F49" s="292">
        <f>SUM(C49:E49)</f>
        <v/>
      </c>
      <c r="G49" s="294">
        <f>F49+G48</f>
        <v/>
      </c>
    </row>
    <row r="50" spans="1:15">
      <c r="B50" s="48">
        <f>B38</f>
        <v/>
      </c>
      <c r="C50" s="292">
        <f>IF(ISBLANK('Electric old'!G50),"-",'Electric old'!G50)</f>
        <v/>
      </c>
      <c r="D50" s="292">
        <f>IF(ISBLANK(2/24*('Gas Old'!$H11+'Gas Old'!$H20)),"-",2/24*('Gas Old'!$H11+'Gas Old'!$H20))</f>
        <v/>
      </c>
      <c r="E50" s="292">
        <f>IF(ISBLANK('Water Old'!G50),"-",'Water Old'!G50)</f>
        <v/>
      </c>
      <c r="F50" s="292">
        <f>SUM(C50:E50)</f>
        <v/>
      </c>
      <c r="G50" s="294">
        <f>F50+G49</f>
        <v/>
      </c>
    </row>
    <row r="51" spans="1:15">
      <c r="B51" s="48">
        <f>B39</f>
        <v/>
      </c>
      <c r="C51" s="292">
        <f>IF(ISBLANK('Electric old'!G51),"-",'Electric old'!G51)</f>
        <v/>
      </c>
      <c r="D51" s="292">
        <f>IF(ISBLANK(2/24*('Gas Old'!$H12+'Gas Old'!$H21)),"-",2/24*('Gas Old'!$H12+'Gas Old'!$H21))</f>
        <v/>
      </c>
      <c r="E51" s="292">
        <f>IF(ISBLANK('Water Old'!G51),"-",'Water Old'!G51)</f>
        <v/>
      </c>
      <c r="F51" s="292">
        <f>SUM(C51:E51)</f>
        <v/>
      </c>
      <c r="G51" s="294">
        <f>F51+G50</f>
        <v/>
      </c>
    </row>
    <row r="52" spans="1:15">
      <c r="A52" s="236" t="s">
        <v>74</v>
      </c>
      <c r="B52" s="48">
        <f>B40</f>
        <v/>
      </c>
      <c r="C52" s="292">
        <f>IF(ISBLANK('Electric old'!G52),"-",'Electric old'!G52)</f>
        <v/>
      </c>
      <c r="D52" s="293" t="s">
        <v>88</v>
      </c>
      <c r="E52" s="292">
        <f>IF(ISBLANK('Water Old'!G52),"-",'Water Old'!G52)</f>
        <v/>
      </c>
      <c r="F52" s="293" t="s">
        <v>88</v>
      </c>
      <c r="G52" s="293" t="s">
        <v>88</v>
      </c>
    </row>
    <row r="53" spans="1:15">
      <c r="B53" s="48">
        <f>B41</f>
        <v/>
      </c>
      <c r="C53" s="292">
        <f>IF(ISBLANK('Electric old'!G53),"-",'Electric old'!G53)</f>
        <v/>
      </c>
      <c r="D53" s="293" t="s">
        <v>88</v>
      </c>
      <c r="E53" s="292">
        <f>IF(ISBLANK('Water Old'!G53),"-",'Water Old'!G53)</f>
        <v/>
      </c>
      <c r="F53" s="293" t="s">
        <v>88</v>
      </c>
      <c r="G53" s="293" t="s">
        <v>88</v>
      </c>
    </row>
    <row r="54" spans="1:15">
      <c r="B54" s="48">
        <f>B42</f>
        <v/>
      </c>
      <c r="C54" s="292">
        <f>IF(ISBLANK('Electric old'!G54),"-",'Electric old'!G54)</f>
        <v/>
      </c>
      <c r="D54" s="293" t="s">
        <v>88</v>
      </c>
      <c r="E54" s="292">
        <f>IF(ISBLANK('Water Old'!G54),"-",'Water Old'!G54)</f>
        <v/>
      </c>
      <c r="F54" s="292">
        <f>SUM(C54:E54)</f>
        <v/>
      </c>
      <c r="G54" s="294">
        <f>F54</f>
        <v/>
      </c>
    </row>
    <row r="55" spans="1:15">
      <c r="B55" s="48">
        <f>B43</f>
        <v/>
      </c>
      <c r="C55" s="292">
        <f>IF(ISBLANK('Electric old'!G55),"-",'Electric old'!G55)</f>
        <v/>
      </c>
      <c r="D55" s="292">
        <f>IF(ISBLANK(2/24*('Gas Old'!$H$4+'Gas Old'!$H$13)),"-",2/24*('Gas Old'!$H$4+'Gas Old'!$H$13))</f>
        <v/>
      </c>
      <c r="E55" s="292">
        <f>IF(ISBLANK('Water Old'!G55),"-",'Water Old'!G55)</f>
        <v/>
      </c>
      <c r="F55" s="292">
        <f>SUM(C55:E55)</f>
        <v/>
      </c>
      <c r="G55" s="294">
        <f>F55+G54</f>
        <v/>
      </c>
    </row>
    <row r="56" spans="1:15">
      <c r="B56" s="48">
        <f>B44</f>
        <v/>
      </c>
      <c r="C56" s="292">
        <f>IF(ISBLANK('Electric old'!G56),"-",'Electric old'!G56)</f>
        <v/>
      </c>
      <c r="D56" s="292">
        <f>IF(ISBLANK(2/24*('Gas Old'!$H$5+'Gas Old'!$H$14)),"-",2/24*('Gas Old'!$H$5+'Gas Old'!$H$14))</f>
        <v/>
      </c>
      <c r="E56" s="292">
        <f>IF(ISBLANK('Water Old'!G56),"-",'Water Old'!G56)</f>
        <v/>
      </c>
      <c r="F56" s="292">
        <f>SUM(C56:E56)</f>
        <v/>
      </c>
      <c r="G56" s="294">
        <f>F56+G55</f>
        <v/>
      </c>
    </row>
    <row r="57" spans="1:15">
      <c r="B57" s="48">
        <f>B45</f>
        <v/>
      </c>
      <c r="C57" s="292">
        <f>IF(ISBLANK('Electric old'!G57),"-",'Electric old'!G57)</f>
        <v/>
      </c>
      <c r="D57" s="292">
        <f>IF(ISBLANK(2/24*('Gas Old'!$H$6+'Gas Old'!$H$15)),"-",2/24*('Gas Old'!$H$6+'Gas Old'!$H$15))</f>
        <v/>
      </c>
      <c r="E57" s="292">
        <f>IF(ISBLANK('Water Old'!G57),"-",'Water Old'!G57)</f>
        <v/>
      </c>
      <c r="F57" s="292">
        <f>SUM(C57:E57)</f>
        <v/>
      </c>
      <c r="G57" s="294">
        <f>F57+G56</f>
        <v/>
      </c>
    </row>
    <row r="58" spans="1:15">
      <c r="B58" s="48">
        <f>B46</f>
        <v/>
      </c>
      <c r="C58" s="292">
        <f>IF(ISBLANK('Electric old'!G58),"-",'Electric old'!G58)</f>
        <v/>
      </c>
      <c r="D58" s="292">
        <f>IF(ISBLANK(2/24*('Gas Old'!$H$7+'Gas Old'!$H$16)),"-",2/24*('Gas Old'!$H$7+'Gas Old'!$H$16))</f>
        <v/>
      </c>
      <c r="E58" s="292">
        <f>IF(ISBLANK('Water Old'!G58),"-",'Water Old'!G58)</f>
        <v/>
      </c>
      <c r="F58" s="292">
        <f>SUM(C58:E58)</f>
        <v/>
      </c>
      <c r="G58" s="294">
        <f>F58+G57</f>
        <v/>
      </c>
    </row>
    <row r="59" spans="1:15">
      <c r="B59" s="48">
        <f>B47</f>
        <v/>
      </c>
      <c r="C59" s="292">
        <f>IF(ISBLANK('Electric old'!G59),"-",'Electric old'!G59)</f>
        <v/>
      </c>
      <c r="D59" s="292">
        <f>IF(ISBLANK(2/24*('Gas Old'!$H$8+'Gas Old'!$H$17)),"-",2/24*('Gas Old'!$H$8+'Gas Old'!$H$17))</f>
        <v/>
      </c>
      <c r="E59" s="292">
        <f>IF(ISBLANK('Water Old'!G59),"-",'Water Old'!G59)</f>
        <v/>
      </c>
      <c r="F59" s="292">
        <f>SUM(C59:E59)</f>
        <v/>
      </c>
      <c r="G59" s="294">
        <f>F59+G58</f>
        <v/>
      </c>
    </row>
    <row r="60" spans="1:15">
      <c r="B60" s="48">
        <f>B48</f>
        <v/>
      </c>
      <c r="C60" s="292">
        <f>IF(ISBLANK('Electric old'!G60),"-",'Electric old'!G60)</f>
        <v/>
      </c>
      <c r="D60" s="292">
        <f>IF(ISBLANK(2/24*('Gas Old'!$H9+'Gas Old'!$H18)),"-",2/24*('Gas Old'!$H9+'Gas Old'!$H18))</f>
        <v/>
      </c>
      <c r="E60" s="292">
        <f>IF(ISBLANK('Water Old'!G60),"-",'Water Old'!G60)</f>
        <v/>
      </c>
      <c r="F60" s="292">
        <f>SUM(C60:E60)</f>
        <v/>
      </c>
      <c r="G60" s="294">
        <f>F60+G59</f>
        <v/>
      </c>
    </row>
    <row r="61" spans="1:15">
      <c r="B61" s="48">
        <f>B49</f>
        <v/>
      </c>
      <c r="C61" s="292">
        <f>IF(ISBLANK('Electric old'!G61),"-",'Electric old'!G61)</f>
        <v/>
      </c>
      <c r="D61" s="292">
        <f>IF(ISBLANK(2/24*('Gas Old'!$H10+'Gas Old'!$H19)),"-",2/24*('Gas Old'!$H10+'Gas Old'!$H19))</f>
        <v/>
      </c>
      <c r="E61" s="292">
        <f>IF(ISBLANK('Water Old'!G61),"-",'Water Old'!G61)</f>
        <v/>
      </c>
      <c r="F61" s="292">
        <f>SUM(C61:E61)</f>
        <v/>
      </c>
      <c r="G61" s="294">
        <f>F61+G60</f>
        <v/>
      </c>
    </row>
    <row r="62" spans="1:15">
      <c r="B62" s="48">
        <f>B50</f>
        <v/>
      </c>
      <c r="C62" s="292">
        <f>IF(ISBLANK('Electric old'!G62),"-",'Electric old'!G62)</f>
        <v/>
      </c>
      <c r="D62" s="292">
        <f>IF(ISBLANK(2/24*('Gas Old'!$H11+'Gas Old'!$H20)),"-",2/24*('Gas Old'!$H11+'Gas Old'!$H20))</f>
        <v/>
      </c>
      <c r="E62" s="292">
        <f>IF(ISBLANK('Water Old'!G62),"-",'Water Old'!G62)</f>
        <v/>
      </c>
      <c r="F62" s="292">
        <f>SUM(C62:E62)</f>
        <v/>
      </c>
      <c r="G62" s="294">
        <f>F62+G61</f>
        <v/>
      </c>
    </row>
    <row r="63" spans="1:15">
      <c r="B63" s="48">
        <f>B51</f>
        <v/>
      </c>
      <c r="C63" s="292">
        <f>IF(ISBLANK('Electric old'!G63),"-",'Electric old'!G63)</f>
        <v/>
      </c>
      <c r="D63" s="292">
        <f>IF(ISBLANK(2/24*('Gas Old'!$H12+'Gas Old'!$H21)),"-",2/24*('Gas Old'!$H12+'Gas Old'!$H21))</f>
        <v/>
      </c>
      <c r="E63" s="292">
        <f>IF(ISBLANK('Water Old'!G63),"-",'Water Old'!G63)</f>
        <v/>
      </c>
      <c r="F63" s="292">
        <f>SUM(C63:E63)</f>
        <v/>
      </c>
      <c r="G63" s="294">
        <f>F63+G62</f>
        <v/>
      </c>
    </row>
    <row r="64" spans="1:15">
      <c r="A64" s="236" t="s">
        <v>75</v>
      </c>
      <c r="B64" s="48">
        <f>B52</f>
        <v/>
      </c>
      <c r="C64" s="292">
        <f>IF(ISBLANK('Electric old'!G64),"-",'Electric old'!G64)</f>
        <v/>
      </c>
      <c r="D64" s="293" t="s">
        <v>88</v>
      </c>
      <c r="E64" s="292">
        <f>IF(ISBLANK('Water Old'!G64),"-",'Water Old'!G64)</f>
        <v/>
      </c>
      <c r="F64" s="293" t="s">
        <v>88</v>
      </c>
      <c r="G64" s="293" t="s">
        <v>88</v>
      </c>
    </row>
    <row r="65" spans="1:15">
      <c r="B65" s="48">
        <f>B53</f>
        <v/>
      </c>
      <c r="C65" s="292">
        <f>IF(ISBLANK('Electric old'!G65),"-",'Electric old'!G65)</f>
        <v/>
      </c>
      <c r="D65" s="293" t="s">
        <v>88</v>
      </c>
      <c r="E65" s="292">
        <f>IF(ISBLANK('Water Old'!G65),"-",'Water Old'!G65)</f>
        <v/>
      </c>
      <c r="F65" s="293" t="s">
        <v>88</v>
      </c>
      <c r="G65" s="293" t="s">
        <v>88</v>
      </c>
    </row>
    <row r="66" spans="1:15">
      <c r="B66" s="48">
        <f>B54</f>
        <v/>
      </c>
      <c r="C66" s="292">
        <f>IF(ISBLANK('Electric old'!G66),"-",'Electric old'!G66)</f>
        <v/>
      </c>
      <c r="D66" s="293" t="s">
        <v>88</v>
      </c>
      <c r="E66" s="292">
        <f>IF(ISBLANK('Water Old'!G66),"-",'Water Old'!G66)</f>
        <v/>
      </c>
      <c r="F66" s="292">
        <f>SUM(C66:E66)</f>
        <v/>
      </c>
      <c r="G66" s="294">
        <f>F66</f>
        <v/>
      </c>
    </row>
    <row r="67" spans="1:15">
      <c r="B67" s="48">
        <f>B55</f>
        <v/>
      </c>
      <c r="C67" s="292">
        <f>IF(ISBLANK('Electric old'!G67),"-",'Electric old'!G67)</f>
        <v/>
      </c>
      <c r="D67" s="292">
        <f>IF(ISBLANK(2/24*('Gas Old'!$H$4+'Gas Old'!$H$13)),"-",2/24*('Gas Old'!$H$4+'Gas Old'!$H$13))</f>
        <v/>
      </c>
      <c r="E67" s="292">
        <f>IF(ISBLANK('Water Old'!G67),"-",'Water Old'!G67)</f>
        <v/>
      </c>
      <c r="F67" s="292">
        <f>SUM(C67:E67)</f>
        <v/>
      </c>
      <c r="G67" s="294">
        <f>F67+G66</f>
        <v/>
      </c>
    </row>
    <row r="68" spans="1:15">
      <c r="B68" s="48">
        <f>B56</f>
        <v/>
      </c>
      <c r="C68" s="292">
        <f>IF(ISBLANK('Electric old'!G68),"-",'Electric old'!G68)</f>
        <v/>
      </c>
      <c r="D68" s="292">
        <f>IF(ISBLANK(2/24*('Gas Old'!$H$5+'Gas Old'!$H$14)),"-",2/24*('Gas Old'!$H$5+'Gas Old'!$H$14))</f>
        <v/>
      </c>
      <c r="E68" s="292">
        <f>IF(ISBLANK('Water Old'!G68),"-",'Water Old'!G68)</f>
        <v/>
      </c>
      <c r="F68" s="292">
        <f>SUM(C68:E68)</f>
        <v/>
      </c>
      <c r="G68" s="294">
        <f>F68+G67</f>
        <v/>
      </c>
    </row>
    <row r="69" spans="1:15">
      <c r="B69" s="48">
        <f>B57</f>
        <v/>
      </c>
      <c r="C69" s="292">
        <f>IF(ISBLANK('Electric old'!G69),"-",'Electric old'!G69)</f>
        <v/>
      </c>
      <c r="D69" s="292">
        <f>IF(ISBLANK(2/24*('Gas Old'!$H$6+'Gas Old'!$H$15)),"-",2/24*('Gas Old'!$H$6+'Gas Old'!$H$15))</f>
        <v/>
      </c>
      <c r="E69" s="292">
        <f>IF(ISBLANK('Water Old'!G69),"-",'Water Old'!G69)</f>
        <v/>
      </c>
      <c r="F69" s="292">
        <f>SUM(C69:E69)</f>
        <v/>
      </c>
      <c r="G69" s="294">
        <f>F69+G68</f>
        <v/>
      </c>
    </row>
    <row r="70" spans="1:15">
      <c r="B70" s="48">
        <f>B58</f>
        <v/>
      </c>
      <c r="C70" s="292">
        <f>IF(ISBLANK('Electric old'!G70),"-",'Electric old'!G70)</f>
        <v/>
      </c>
      <c r="D70" s="292">
        <f>IF(ISBLANK(2/24*('Gas Old'!$H$7+'Gas Old'!$H$16)),"-",2/24*('Gas Old'!$H$7+'Gas Old'!$H$16))</f>
        <v/>
      </c>
      <c r="E70" s="292">
        <f>IF(ISBLANK('Water Old'!G70),"-",'Water Old'!G70)</f>
        <v/>
      </c>
      <c r="F70" s="292">
        <f>SUM(C70:E70)</f>
        <v/>
      </c>
      <c r="G70" s="294">
        <f>F70+G69</f>
        <v/>
      </c>
    </row>
    <row r="71" spans="1:15">
      <c r="B71" s="48">
        <f>B59</f>
        <v/>
      </c>
      <c r="C71" s="292">
        <f>IF(ISBLANK('Electric old'!G71),"-",'Electric old'!G71)</f>
        <v/>
      </c>
      <c r="D71" s="292">
        <f>IF(ISBLANK(2/24*('Gas Old'!$H$8+'Gas Old'!$H$17)),"-",2/24*('Gas Old'!$H$8+'Gas Old'!$H$17))</f>
        <v/>
      </c>
      <c r="E71" s="292">
        <f>IF(ISBLANK('Water Old'!G71),"-",'Water Old'!G71)</f>
        <v/>
      </c>
      <c r="F71" s="292">
        <f>SUM(C71:E71)</f>
        <v/>
      </c>
      <c r="G71" s="294">
        <f>F71+G70</f>
        <v/>
      </c>
    </row>
    <row r="72" spans="1:15">
      <c r="B72" s="48">
        <f>B60</f>
        <v/>
      </c>
      <c r="C72" s="292">
        <f>IF(ISBLANK('Electric old'!G72),"-",'Electric old'!G72)</f>
        <v/>
      </c>
      <c r="D72" s="292">
        <f>IF(ISBLANK(2/24*('Gas Old'!$H9+'Gas Old'!$H18)),"-",2/24*('Gas Old'!$H9+'Gas Old'!$H18))</f>
        <v/>
      </c>
      <c r="E72" s="292">
        <f>IF(ISBLANK('Water Old'!G72),"-",'Water Old'!G72)</f>
        <v/>
      </c>
      <c r="F72" s="292">
        <f>SUM(C72:E72)</f>
        <v/>
      </c>
      <c r="G72" s="294">
        <f>F72+G71</f>
        <v/>
      </c>
    </row>
    <row r="73" spans="1:15">
      <c r="B73" s="48">
        <f>B61</f>
        <v/>
      </c>
      <c r="C73" s="292">
        <f>IF(ISBLANK('Electric old'!G73),"-",'Electric old'!G73)</f>
        <v/>
      </c>
      <c r="D73" s="292">
        <f>IF(ISBLANK(2/24*('Gas Old'!$H10+'Gas Old'!$H19)),"-",2/24*('Gas Old'!$H10+'Gas Old'!$H19))</f>
        <v/>
      </c>
      <c r="E73" s="292">
        <f>IF(ISBLANK('Water Old'!G73),"-",'Water Old'!G73)</f>
        <v/>
      </c>
      <c r="F73" s="292">
        <f>SUM(C73:E73)</f>
        <v/>
      </c>
      <c r="G73" s="294">
        <f>F73+G72</f>
        <v/>
      </c>
    </row>
    <row r="74" spans="1:15">
      <c r="B74" s="48">
        <f>B62</f>
        <v/>
      </c>
      <c r="C74" s="292">
        <f>IF(ISBLANK('Electric old'!G74),"-",'Electric old'!G74)</f>
        <v/>
      </c>
      <c r="D74" s="292">
        <f>IF(ISBLANK(2/24*('Gas Old'!$H11+'Gas Old'!$H20)),"-",2/24*('Gas Old'!$H11+'Gas Old'!$H20))</f>
        <v/>
      </c>
      <c r="E74" s="292">
        <f>IF(ISBLANK('Water Old'!G74),"-",'Water Old'!G74)</f>
        <v/>
      </c>
      <c r="F74" s="292">
        <f>SUM(C74:E74)</f>
        <v/>
      </c>
      <c r="G74" s="294">
        <f>F74+G73</f>
        <v/>
      </c>
    </row>
    <row r="75" spans="1:15">
      <c r="B75" s="48">
        <f>B63</f>
        <v/>
      </c>
      <c r="C75" s="292">
        <f>IF(ISBLANK('Electric old'!G75),"-",'Electric old'!G75)</f>
        <v/>
      </c>
      <c r="D75" s="292">
        <f>IF(ISBLANK(2/24*('Gas Old'!$H12+'Gas Old'!$H21)),"-",2/24*('Gas Old'!$H12+'Gas Old'!$H21))</f>
        <v/>
      </c>
      <c r="E75" s="292">
        <f>IF(ISBLANK('Water Old'!G75),"-",'Water Old'!G75)</f>
        <v/>
      </c>
      <c r="F75" s="292">
        <f>SUM(C75:E75)</f>
        <v/>
      </c>
      <c r="G75" s="294">
        <f>F75+G74</f>
        <v/>
      </c>
    </row>
    <row r="76" spans="1:15">
      <c r="A76" s="236" t="s">
        <v>76</v>
      </c>
      <c r="B76" s="48">
        <f>B64</f>
        <v/>
      </c>
      <c r="C76" s="292">
        <f>IF(ISBLANK('Electric old'!G76),"-",'Electric old'!G76)</f>
        <v/>
      </c>
      <c r="D76" s="293" t="s">
        <v>88</v>
      </c>
      <c r="E76" s="292">
        <f>IF(ISBLANK('Water Old'!G76),"-",'Water Old'!G76)</f>
        <v/>
      </c>
      <c r="F76" s="293" t="s">
        <v>88</v>
      </c>
      <c r="G76" s="293" t="s">
        <v>88</v>
      </c>
    </row>
    <row r="77" spans="1:15">
      <c r="B77" s="48">
        <f>B65</f>
        <v/>
      </c>
      <c r="C77" s="292">
        <f>IF(ISBLANK('Electric old'!G77),"-",'Electric old'!G77)</f>
        <v/>
      </c>
      <c r="D77" s="293" t="s">
        <v>88</v>
      </c>
      <c r="E77" s="292">
        <f>IF(ISBLANK('Water Old'!G77),"-",'Water Old'!G77)</f>
        <v/>
      </c>
      <c r="F77" s="293" t="s">
        <v>88</v>
      </c>
      <c r="G77" s="293" t="s">
        <v>88</v>
      </c>
    </row>
    <row r="78" spans="1:15">
      <c r="B78" s="48">
        <f>B66</f>
        <v/>
      </c>
      <c r="C78" s="292">
        <f>IF(ISBLANK('Electric old'!G78),"-",'Electric old'!G78)</f>
        <v/>
      </c>
      <c r="D78" s="293" t="s">
        <v>88</v>
      </c>
      <c r="E78" s="292">
        <f>IF(ISBLANK('Water Old'!G78),"-",'Water Old'!G78)</f>
        <v/>
      </c>
      <c r="F78" s="292">
        <f>SUM(C78:E78)</f>
        <v/>
      </c>
      <c r="G78" s="294">
        <f>F78</f>
        <v/>
      </c>
    </row>
    <row r="79" spans="1:15">
      <c r="B79" s="48">
        <f>B67</f>
        <v/>
      </c>
      <c r="C79" s="292">
        <f>IF(ISBLANK('Electric old'!G79),"-",'Electric old'!G79)</f>
        <v/>
      </c>
      <c r="D79" s="292">
        <f>IF(ISBLANK(1/24*('Gas Old'!$H$4+'Gas Old'!$H$13)),"-",1/24*('Gas Old'!$H$4+'Gas Old'!$H$13))</f>
        <v/>
      </c>
      <c r="E79" s="292">
        <f>IF(ISBLANK('Water Old'!G79),"-",'Water Old'!G79)</f>
        <v/>
      </c>
      <c r="F79" s="292">
        <f>SUM(C79:E79)</f>
        <v/>
      </c>
      <c r="G79" s="294">
        <f>F79+G78</f>
        <v/>
      </c>
    </row>
    <row r="80" spans="1:15">
      <c r="B80" s="48">
        <f>B68</f>
        <v/>
      </c>
      <c r="C80" s="292">
        <f>IF(ISBLANK('Electric old'!G80),"-",'Electric old'!G80)</f>
        <v/>
      </c>
      <c r="D80" s="292">
        <f>IF(ISBLANK(1/24*('Gas Old'!$H$5+'Gas Old'!$H$14)),"-",1/24*('Gas Old'!$H$5+'Gas Old'!$H$14))</f>
        <v/>
      </c>
      <c r="E80" s="292">
        <f>IF(ISBLANK('Water Old'!G80),"-",'Water Old'!G80)</f>
        <v/>
      </c>
      <c r="F80" s="292">
        <f>SUM(C80:E80)</f>
        <v/>
      </c>
      <c r="G80" s="294">
        <f>F80+G79</f>
        <v/>
      </c>
    </row>
    <row r="81" spans="1:15">
      <c r="B81" s="48">
        <f>B69</f>
        <v/>
      </c>
      <c r="C81" s="292">
        <f>IF(ISBLANK('Electric old'!G81),"-",'Electric old'!G81)</f>
        <v/>
      </c>
      <c r="D81" s="292">
        <f>IF(ISBLANK(1/24*('Gas Old'!$H$6+'Gas Old'!$H$15)),"-",1/24*('Gas Old'!$H$6+'Gas Old'!$H$15))</f>
        <v/>
      </c>
      <c r="E81" s="292">
        <f>IF(ISBLANK('Water Old'!G81),"-",'Water Old'!G81)</f>
        <v/>
      </c>
      <c r="F81" s="292">
        <f>SUM(C81:E81)</f>
        <v/>
      </c>
      <c r="G81" s="294">
        <f>F81+G80</f>
        <v/>
      </c>
    </row>
    <row r="82" spans="1:15">
      <c r="B82" s="48">
        <f>B70</f>
        <v/>
      </c>
      <c r="C82" s="292">
        <f>IF(ISBLANK('Electric old'!G82),"-",'Electric old'!G82)</f>
        <v/>
      </c>
      <c r="D82" s="292">
        <f>IF(ISBLANK(1/24*('Gas Old'!$H$7+'Gas Old'!$H$16)),"-",1/24*('Gas Old'!$H$7+'Gas Old'!$H$16))</f>
        <v/>
      </c>
      <c r="E82" s="292">
        <f>IF(ISBLANK('Water Old'!G82),"-",'Water Old'!G82)</f>
        <v/>
      </c>
      <c r="F82" s="292">
        <f>SUM(C82:E82)</f>
        <v/>
      </c>
      <c r="G82" s="294">
        <f>F82+G81</f>
        <v/>
      </c>
    </row>
    <row r="83" spans="1:15">
      <c r="B83" s="48">
        <f>B71</f>
        <v/>
      </c>
      <c r="C83" s="292">
        <f>IF(ISBLANK('Electric old'!G83),"-",'Electric old'!G83)</f>
        <v/>
      </c>
      <c r="D83" s="292">
        <f>IF(ISBLANK(1/24*('Gas Old'!$H$8+'Gas Old'!$H$17)),"-",1/24*('Gas Old'!$H$8+'Gas Old'!$H$17))</f>
        <v/>
      </c>
      <c r="E83" s="292">
        <f>IF(ISBLANK('Water Old'!G83),"-",'Water Old'!G83)</f>
        <v/>
      </c>
      <c r="F83" s="292">
        <f>SUM(C83:E83)</f>
        <v/>
      </c>
      <c r="G83" s="294">
        <f>F83+G82</f>
        <v/>
      </c>
    </row>
    <row r="84" spans="1:15">
      <c r="B84" s="48">
        <f>B72</f>
        <v/>
      </c>
      <c r="C84" s="292">
        <f>IF(ISBLANK('Electric old'!G84),"-",'Electric old'!G84)</f>
        <v/>
      </c>
      <c r="D84" s="292">
        <f>IF(ISBLANK(1/24*('Gas Old'!$H9+'Gas Old'!$H18)),"-",1/24*('Gas Old'!$H9+'Gas Old'!$H18))</f>
        <v/>
      </c>
      <c r="E84" s="292">
        <f>IF(ISBLANK('Water Old'!G84),"-",'Water Old'!G84)</f>
        <v/>
      </c>
      <c r="F84" s="292">
        <f>SUM(C84:E84)</f>
        <v/>
      </c>
      <c r="G84" s="294">
        <f>F84+G83</f>
        <v/>
      </c>
    </row>
    <row r="85" spans="1:15">
      <c r="B85" s="48">
        <f>B73</f>
        <v/>
      </c>
      <c r="C85" s="292">
        <f>IF(ISBLANK('Electric old'!G85),"-",'Electric old'!G85)</f>
        <v/>
      </c>
      <c r="D85" s="292">
        <f>IF(ISBLANK(1/24*('Gas Old'!$H10+'Gas Old'!$H19)),"-",1/24*('Gas Old'!$H10+'Gas Old'!$H19))</f>
        <v/>
      </c>
      <c r="E85" s="292">
        <f>IF(ISBLANK('Water Old'!G85),"-",'Water Old'!G85)</f>
        <v/>
      </c>
      <c r="F85" s="292">
        <f>SUM(C85:E85)</f>
        <v/>
      </c>
      <c r="G85" s="294">
        <f>F85+G84</f>
        <v/>
      </c>
    </row>
    <row r="86" spans="1:15">
      <c r="B86" s="48">
        <f>B74</f>
        <v/>
      </c>
      <c r="C86" s="292">
        <f>IF(ISBLANK('Electric old'!G86),"-",'Electric old'!G86)</f>
        <v/>
      </c>
      <c r="D86" s="292">
        <f>IF(ISBLANK(1/24*('Gas Old'!$H11+'Gas Old'!$H20)),"-",1/24*('Gas Old'!$H11+'Gas Old'!$H20))</f>
        <v/>
      </c>
      <c r="E86" s="292">
        <f>IF(ISBLANK('Water Old'!G86),"-",'Water Old'!G86)</f>
        <v/>
      </c>
      <c r="F86" s="292">
        <f>SUM(C86:E86)</f>
        <v/>
      </c>
      <c r="G86" s="294">
        <f>F86+G85</f>
        <v/>
      </c>
    </row>
    <row r="87" spans="1:15">
      <c r="B87" s="48">
        <f>B75</f>
        <v/>
      </c>
      <c r="C87" s="292">
        <f>IF(ISBLANK('Electric old'!G87),"-",'Electric old'!G87)</f>
        <v/>
      </c>
      <c r="D87" s="292">
        <f>IF(ISBLANK(1/24*('Gas Old'!$H12+'Gas Old'!$H21)),"-",1/24*('Gas Old'!$H12+'Gas Old'!$H21))</f>
        <v/>
      </c>
      <c r="E87" s="292">
        <f>IF(ISBLANK('Water Old'!G87),"-",'Water Old'!G87)</f>
        <v/>
      </c>
      <c r="F87" s="292">
        <f>SUM(C87:E87)</f>
        <v/>
      </c>
      <c r="G87" s="294">
        <f>F87+G86</f>
        <v/>
      </c>
    </row>
    <row r="88" spans="1:15">
      <c r="A88" s="236" t="s">
        <v>77</v>
      </c>
      <c r="B88" s="48">
        <f>B76</f>
        <v/>
      </c>
      <c r="C88" s="292">
        <f>IF(ISBLANK('Electric old'!G88),"-",'Electric old'!G88)</f>
        <v/>
      </c>
      <c r="D88" s="293" t="s">
        <v>88</v>
      </c>
      <c r="E88" s="292">
        <f>IF(ISBLANK('Water Old'!G88),"-",'Water Old'!G88)</f>
        <v/>
      </c>
      <c r="F88" s="293" t="s">
        <v>88</v>
      </c>
      <c r="G88" s="293" t="s">
        <v>88</v>
      </c>
    </row>
    <row r="89" spans="1:15">
      <c r="B89" s="48">
        <f>B77</f>
        <v/>
      </c>
      <c r="C89" s="292">
        <f>IF(ISBLANK('Electric old'!G89),"-",'Electric old'!G89)</f>
        <v/>
      </c>
      <c r="D89" s="293" t="s">
        <v>88</v>
      </c>
      <c r="E89" s="292">
        <f>IF(ISBLANK('Water Old'!G89),"-",'Water Old'!G89)</f>
        <v/>
      </c>
      <c r="F89" s="293" t="s">
        <v>88</v>
      </c>
      <c r="G89" s="293" t="s">
        <v>88</v>
      </c>
    </row>
    <row r="90" spans="1:15">
      <c r="B90" s="48">
        <f>B78</f>
        <v/>
      </c>
      <c r="C90" s="292">
        <f>IF(ISBLANK('Electric old'!G90),"-",'Electric old'!G90)</f>
        <v/>
      </c>
      <c r="D90" s="293" t="s">
        <v>88</v>
      </c>
      <c r="E90" s="292">
        <f>IF(ISBLANK('Water Old'!G90),"-",'Water Old'!G90)</f>
        <v/>
      </c>
      <c r="F90" s="292">
        <f>SUM(C90:E90)</f>
        <v/>
      </c>
      <c r="G90" s="294">
        <f>F90</f>
        <v/>
      </c>
    </row>
    <row r="91" spans="1:15">
      <c r="B91" s="48">
        <f>B79</f>
        <v/>
      </c>
      <c r="C91" s="292">
        <f>IF(ISBLANK('Electric old'!G91),"-",'Electric old'!G91)</f>
        <v/>
      </c>
      <c r="D91" s="292">
        <f>IF(ISBLANK(2/24*('Gas Old'!$H$4+'Gas Old'!$H$13)),"-",2/24*('Gas Old'!$H$4+'Gas Old'!$H$13))</f>
        <v/>
      </c>
      <c r="E91" s="292">
        <f>IF(ISBLANK('Water Old'!G91),"-",'Water Old'!G91)</f>
        <v/>
      </c>
      <c r="F91" s="292">
        <f>SUM(C91:E91)</f>
        <v/>
      </c>
      <c r="G91" s="294">
        <f>F91+G90</f>
        <v/>
      </c>
    </row>
    <row r="92" spans="1:15">
      <c r="B92" s="48">
        <f>B80</f>
        <v/>
      </c>
      <c r="C92" s="292">
        <f>IF(ISBLANK('Electric old'!G92),"-",'Electric old'!G92)</f>
        <v/>
      </c>
      <c r="D92" s="292">
        <f>IF(ISBLANK(2/24*('Gas Old'!$H$5+'Gas Old'!$H$14)),"-",2/24*('Gas Old'!$H$5+'Gas Old'!$H$14))</f>
        <v/>
      </c>
      <c r="E92" s="292">
        <f>IF(ISBLANK('Water Old'!G92),"-",'Water Old'!G92)</f>
        <v/>
      </c>
      <c r="F92" s="292">
        <f>SUM(C92:E92)</f>
        <v/>
      </c>
      <c r="G92" s="294">
        <f>F92+G91</f>
        <v/>
      </c>
    </row>
    <row r="93" spans="1:15">
      <c r="B93" s="48">
        <f>B81</f>
        <v/>
      </c>
      <c r="C93" s="292">
        <f>IF(ISBLANK('Electric old'!G93),"-",'Electric old'!G93)</f>
        <v/>
      </c>
      <c r="D93" s="292">
        <f>IF(ISBLANK(2/24*('Gas Old'!$H$6+'Gas Old'!$H$15)),"-",2/24*('Gas Old'!$H$6+'Gas Old'!$H$15))</f>
        <v/>
      </c>
      <c r="E93" s="292">
        <f>IF(ISBLANK('Water Old'!G93),"-",'Water Old'!G93)</f>
        <v/>
      </c>
      <c r="F93" s="292">
        <f>SUM(C93:E93)</f>
        <v/>
      </c>
      <c r="G93" s="294">
        <f>F93+G92</f>
        <v/>
      </c>
    </row>
    <row r="94" spans="1:15">
      <c r="B94" s="48">
        <f>B82</f>
        <v/>
      </c>
      <c r="C94" s="292">
        <f>IF(ISBLANK('Electric old'!G94),"-",'Electric old'!G94)</f>
        <v/>
      </c>
      <c r="D94" s="292">
        <f>IF(ISBLANK(2/24*('Gas Old'!$H$7+'Gas Old'!$H$16)),"-",2/24*('Gas Old'!$H$7+'Gas Old'!$H$16))</f>
        <v/>
      </c>
      <c r="E94" s="292">
        <f>IF(ISBLANK('Water Old'!G94),"-",'Water Old'!G94)</f>
        <v/>
      </c>
      <c r="F94" s="292">
        <f>SUM(C94:E94)</f>
        <v/>
      </c>
      <c r="G94" s="294">
        <f>F94+G93</f>
        <v/>
      </c>
    </row>
    <row r="95" spans="1:15">
      <c r="B95" s="48">
        <f>B83</f>
        <v/>
      </c>
      <c r="C95" s="292">
        <f>IF(ISBLANK('Electric old'!G95),"-",'Electric old'!G95)</f>
        <v/>
      </c>
      <c r="D95" s="292">
        <f>IF(ISBLANK(2/24*('Gas Old'!$H$8+'Gas Old'!$H$17)),"-",2/24*('Gas Old'!$H$8+'Gas Old'!$H$17))</f>
        <v/>
      </c>
      <c r="E95" s="292">
        <f>IF(ISBLANK('Water Old'!G95),"-",'Water Old'!G95)</f>
        <v/>
      </c>
      <c r="F95" s="292">
        <f>SUM(C95:E95)</f>
        <v/>
      </c>
      <c r="G95" s="294">
        <f>F95+G94</f>
        <v/>
      </c>
    </row>
    <row r="96" spans="1:15">
      <c r="B96" s="48">
        <f>B84</f>
        <v/>
      </c>
      <c r="C96" s="292">
        <f>IF(ISBLANK('Electric old'!G96),"-",'Electric old'!G96)</f>
        <v/>
      </c>
      <c r="D96" s="292">
        <f>IF(ISBLANK(2/24*('Gas Old'!$H9+'Gas Old'!$H18)),"-",2/24*('Gas Old'!$H9+'Gas Old'!$H18))</f>
        <v/>
      </c>
      <c r="E96" s="292">
        <f>IF(ISBLANK('Water Old'!G96),"-",'Water Old'!G96)</f>
        <v/>
      </c>
      <c r="F96" s="292">
        <f>SUM(C96:E96)</f>
        <v/>
      </c>
      <c r="G96" s="294">
        <f>F96+G95</f>
        <v/>
      </c>
    </row>
    <row r="97" spans="1:15">
      <c r="B97" s="48">
        <f>B85</f>
        <v/>
      </c>
      <c r="C97" s="292">
        <f>IF(ISBLANK('Electric old'!G97),"-",'Electric old'!G97)</f>
        <v/>
      </c>
      <c r="D97" s="292">
        <f>IF(ISBLANK(2/24*('Gas Old'!$H10+'Gas Old'!$H19)),"-",2/24*('Gas Old'!$H10+'Gas Old'!$H19))</f>
        <v/>
      </c>
      <c r="E97" s="292">
        <f>IF(ISBLANK('Water Old'!G97),"-",'Water Old'!G97)</f>
        <v/>
      </c>
      <c r="F97" s="292">
        <f>SUM(C97:E97)</f>
        <v/>
      </c>
      <c r="G97" s="294">
        <f>F97+G96</f>
        <v/>
      </c>
    </row>
    <row r="98" spans="1:15">
      <c r="B98" s="48">
        <f>B86</f>
        <v/>
      </c>
      <c r="C98" s="292">
        <f>IF(ISBLANK('Electric old'!G98),"-",'Electric old'!G98)</f>
        <v/>
      </c>
      <c r="D98" s="292">
        <f>IF(ISBLANK(2/24*('Gas Old'!$H11+'Gas Old'!$H20)),"-",2/24*('Gas Old'!$H11+'Gas Old'!$H20))</f>
        <v/>
      </c>
      <c r="E98" s="292">
        <f>IF(ISBLANK('Water Old'!G98),"-",'Water Old'!G98)</f>
        <v/>
      </c>
      <c r="F98" s="292">
        <f>SUM(C98:E98)</f>
        <v/>
      </c>
      <c r="G98" s="294">
        <f>F98+G97</f>
        <v/>
      </c>
    </row>
    <row r="99" spans="1:15">
      <c r="B99" s="48">
        <f>B87</f>
        <v/>
      </c>
      <c r="C99" s="292">
        <f>IF(ISBLANK('Electric old'!G99),"-",'Electric old'!G99)</f>
        <v/>
      </c>
      <c r="D99" s="292">
        <f>IF(ISBLANK(2/24*('Gas Old'!$H12+'Gas Old'!$H21)),"-",2/24*('Gas Old'!$H12+'Gas Old'!$H21))</f>
        <v/>
      </c>
      <c r="E99" s="292">
        <f>IF(ISBLANK('Water Old'!G99),"-",'Water Old'!G99)</f>
        <v/>
      </c>
      <c r="F99" s="292">
        <f>SUM(C99:E99)</f>
        <v/>
      </c>
      <c r="G99" s="294">
        <f>F99+G98</f>
        <v/>
      </c>
    </row>
    <row r="100" spans="1:15">
      <c r="A100" s="236" t="s">
        <v>78</v>
      </c>
      <c r="B100" s="48">
        <f>B88</f>
        <v/>
      </c>
      <c r="C100" s="292">
        <f>IF(ISBLANK('Electric old'!G100),"-",'Electric old'!G100)</f>
        <v/>
      </c>
      <c r="D100" s="293" t="s">
        <v>88</v>
      </c>
      <c r="E100" s="292">
        <f>IF(ISBLANK('Water Old'!G100),"-",'Water Old'!G100)</f>
        <v/>
      </c>
      <c r="F100" s="293" t="s">
        <v>88</v>
      </c>
      <c r="G100" s="293" t="s">
        <v>88</v>
      </c>
    </row>
    <row r="101" spans="1:15">
      <c r="B101" s="48">
        <f>B89</f>
        <v/>
      </c>
      <c r="C101" s="292">
        <f>IF(ISBLANK('Electric old'!G101),"-",'Electric old'!G101)</f>
        <v/>
      </c>
      <c r="D101" s="293" t="s">
        <v>88</v>
      </c>
      <c r="E101" s="292">
        <f>IF(ISBLANK('Water Old'!G101),"-",'Water Old'!G101)</f>
        <v/>
      </c>
      <c r="F101" s="293" t="s">
        <v>88</v>
      </c>
      <c r="G101" s="293" t="s">
        <v>88</v>
      </c>
    </row>
    <row r="102" spans="1:15">
      <c r="B102" s="48">
        <f>B90</f>
        <v/>
      </c>
      <c r="C102" s="292">
        <f>IF(ISBLANK('Electric old'!G102),"-",'Electric old'!G102)</f>
        <v/>
      </c>
      <c r="D102" s="293" t="s">
        <v>88</v>
      </c>
      <c r="E102" s="292">
        <f>IF(ISBLANK('Water Old'!G102),"-",'Water Old'!G102)</f>
        <v/>
      </c>
      <c r="F102" s="292">
        <f>SUM(C102:E102)</f>
        <v/>
      </c>
      <c r="G102" s="294">
        <f>F102</f>
        <v/>
      </c>
    </row>
    <row r="103" spans="1:15">
      <c r="B103" s="48">
        <f>B91</f>
        <v/>
      </c>
      <c r="C103" s="292">
        <f>IF(ISBLANK('Electric old'!G103),"-",'Electric old'!G103)</f>
        <v/>
      </c>
      <c r="D103" s="292">
        <f>IF(ISBLANK(1/24*('Gas Old'!$H$4+'Gas Old'!$H$13)),"-",1/24*('Gas Old'!$H$4+'Gas Old'!$H$13))</f>
        <v/>
      </c>
      <c r="E103" s="292">
        <f>IF(ISBLANK('Water Old'!G103),"-",'Water Old'!G103)</f>
        <v/>
      </c>
      <c r="F103" s="292">
        <f>SUM(C103:E103)</f>
        <v/>
      </c>
      <c r="G103" s="294">
        <f>F103+G102</f>
        <v/>
      </c>
    </row>
    <row r="104" spans="1:15">
      <c r="B104" s="48">
        <f>B92</f>
        <v/>
      </c>
      <c r="C104" s="292">
        <f>IF(ISBLANK('Electric old'!G104),"-",'Electric old'!G104)</f>
        <v/>
      </c>
      <c r="D104" s="292">
        <f>IF(ISBLANK(1/24*('Gas Old'!$H$5+'Gas Old'!$H$14)),"-",1/24*('Gas Old'!$H$5+'Gas Old'!$H$14))</f>
        <v/>
      </c>
      <c r="E104" s="292">
        <f>IF(ISBLANK('Water Old'!G104),"-",'Water Old'!G104)</f>
        <v/>
      </c>
      <c r="F104" s="292">
        <f>SUM(C104:E104)</f>
        <v/>
      </c>
      <c r="G104" s="294">
        <f>F104+G103</f>
        <v/>
      </c>
    </row>
    <row r="105" spans="1:15">
      <c r="B105" s="48">
        <f>B93</f>
        <v/>
      </c>
      <c r="C105" s="292">
        <f>IF(ISBLANK('Electric old'!G105),"-",'Electric old'!G105)</f>
        <v/>
      </c>
      <c r="D105" s="292">
        <f>IF(ISBLANK(1/24*('Gas Old'!$H$6+'Gas Old'!$H$15)),"-",1/24*('Gas Old'!$H$6+'Gas Old'!$H$15))</f>
        <v/>
      </c>
      <c r="E105" s="292">
        <f>IF(ISBLANK('Water Old'!G105),"-",'Water Old'!G105)</f>
        <v/>
      </c>
      <c r="F105" s="292">
        <f>SUM(C105:E105)</f>
        <v/>
      </c>
      <c r="G105" s="294">
        <f>F105+G104</f>
        <v/>
      </c>
    </row>
    <row r="106" spans="1:15">
      <c r="B106" s="48">
        <f>B94</f>
        <v/>
      </c>
      <c r="C106" s="292">
        <f>IF(ISBLANK('Electric old'!G106),"-",'Electric old'!G106)</f>
        <v/>
      </c>
      <c r="D106" s="292">
        <f>IF(ISBLANK(1/24*('Gas Old'!$H$7+'Gas Old'!$H$16)),"-",1/24*('Gas Old'!$H$7+'Gas Old'!$H$16))</f>
        <v/>
      </c>
      <c r="E106" s="292">
        <f>IF(ISBLANK('Water Old'!G106),"-",'Water Old'!G106)</f>
        <v/>
      </c>
      <c r="F106" s="292">
        <f>SUM(C106:E106)</f>
        <v/>
      </c>
      <c r="G106" s="294">
        <f>F106+G105</f>
        <v/>
      </c>
    </row>
    <row r="107" spans="1:15">
      <c r="B107" s="48">
        <f>B95</f>
        <v/>
      </c>
      <c r="C107" s="292">
        <f>IF(ISBLANK('Electric old'!G107),"-",'Electric old'!G107)</f>
        <v/>
      </c>
      <c r="D107" s="292">
        <f>IF(ISBLANK(1/24*('Gas Old'!$H$8+'Gas Old'!$H$17)),"-",1/24*('Gas Old'!$H$8+'Gas Old'!$H$17))</f>
        <v/>
      </c>
      <c r="E107" s="292">
        <f>IF(ISBLANK('Water Old'!G107),"-",'Water Old'!G107)</f>
        <v/>
      </c>
      <c r="F107" s="292">
        <f>SUM(C107:E107)</f>
        <v/>
      </c>
      <c r="G107" s="294">
        <f>F107+G106</f>
        <v/>
      </c>
    </row>
    <row r="108" spans="1:15">
      <c r="B108" s="48">
        <f>B96</f>
        <v/>
      </c>
      <c r="C108" s="292">
        <f>IF(ISBLANK('Electric old'!G108),"-",'Electric old'!G108)</f>
        <v/>
      </c>
      <c r="D108" s="292">
        <f>IF(ISBLANK(1/24*('Gas Old'!$H9+'Gas Old'!$H18)),"-",1/24*('Gas Old'!$H9+'Gas Old'!$H18))</f>
        <v/>
      </c>
      <c r="E108" s="292">
        <f>IF(ISBLANK('Water Old'!G108),"-",'Water Old'!G108)</f>
        <v/>
      </c>
      <c r="F108" s="292">
        <f>SUM(C108:E108)</f>
        <v/>
      </c>
      <c r="G108" s="294">
        <f>F108+G107</f>
        <v/>
      </c>
    </row>
    <row r="109" spans="1:15">
      <c r="B109" s="48">
        <f>B97</f>
        <v/>
      </c>
      <c r="C109" s="292">
        <f>IF(ISBLANK('Electric old'!G109),"-",'Electric old'!G109)</f>
        <v/>
      </c>
      <c r="D109" s="292">
        <f>IF(ISBLANK(1/24*('Gas Old'!$H10+'Gas Old'!$H19)),"-",1/24*('Gas Old'!$H10+'Gas Old'!$H19))</f>
        <v/>
      </c>
      <c r="E109" s="292">
        <f>IF(ISBLANK('Water Old'!G109),"-",'Water Old'!G109)</f>
        <v/>
      </c>
      <c r="F109" s="292">
        <f>SUM(C109:E109)</f>
        <v/>
      </c>
      <c r="G109" s="294">
        <f>F109+G108</f>
        <v/>
      </c>
    </row>
    <row r="110" spans="1:15">
      <c r="B110" s="48">
        <f>B98</f>
        <v/>
      </c>
      <c r="C110" s="292">
        <f>IF(ISBLANK('Electric old'!G110),"-",'Electric old'!G110)</f>
        <v/>
      </c>
      <c r="D110" s="292">
        <f>IF(ISBLANK(1/24*('Gas Old'!$H11+'Gas Old'!$H20)),"-",1/24*('Gas Old'!$H11+'Gas Old'!$H20))</f>
        <v/>
      </c>
      <c r="E110" s="292">
        <f>IF(ISBLANK('Water Old'!G110),"-",'Water Old'!G110)</f>
        <v/>
      </c>
      <c r="F110" s="292">
        <f>SUM(C110:E110)</f>
        <v/>
      </c>
      <c r="G110" s="294">
        <f>F110+G109</f>
        <v/>
      </c>
    </row>
    <row r="111" spans="1:15">
      <c r="B111" s="48">
        <f>B99</f>
        <v/>
      </c>
      <c r="C111" s="292">
        <f>IF(ISBLANK('Electric old'!G111),"-",'Electric old'!G111)</f>
        <v/>
      </c>
      <c r="D111" s="292">
        <f>IF(ISBLANK(1/24*('Gas Old'!$H12+'Gas Old'!$H21)),"-",1/24*('Gas Old'!$H12+'Gas Old'!$H21))</f>
        <v/>
      </c>
      <c r="E111" s="292">
        <f>IF(ISBLANK('Water Old'!G111),"-",'Water Old'!G111)</f>
        <v/>
      </c>
      <c r="F111" s="292">
        <f>SUM(C111:E111)</f>
        <v/>
      </c>
      <c r="G111" s="294">
        <f>F111+G110</f>
        <v/>
      </c>
    </row>
    <row r="112" spans="1:15">
      <c r="A112" s="236" t="s">
        <v>79</v>
      </c>
      <c r="B112" s="48">
        <f>B100</f>
        <v/>
      </c>
      <c r="C112" s="292">
        <f>IF(ISBLANK('Electric old'!G112),"-",'Electric old'!G112)</f>
        <v/>
      </c>
      <c r="D112" s="293" t="s">
        <v>88</v>
      </c>
      <c r="E112" s="292">
        <f>IF(ISBLANK('Water Old'!G112),"-",'Water Old'!G112)</f>
        <v/>
      </c>
      <c r="F112" s="293" t="s">
        <v>88</v>
      </c>
      <c r="G112" s="293" t="s">
        <v>88</v>
      </c>
    </row>
    <row r="113" spans="1:15">
      <c r="B113" s="48">
        <f>B101</f>
        <v/>
      </c>
      <c r="C113" s="292">
        <f>IF(ISBLANK('Electric old'!G113),"-",'Electric old'!G113)</f>
        <v/>
      </c>
      <c r="D113" s="293" t="s">
        <v>88</v>
      </c>
      <c r="E113" s="292">
        <f>IF(ISBLANK('Water Old'!G113),"-",'Water Old'!G113)</f>
        <v/>
      </c>
      <c r="F113" s="293" t="s">
        <v>88</v>
      </c>
      <c r="G113" s="293" t="s">
        <v>88</v>
      </c>
    </row>
    <row r="114" spans="1:15">
      <c r="B114" s="48">
        <f>B102</f>
        <v/>
      </c>
      <c r="C114" s="292">
        <f>IF(ISBLANK('Electric old'!G114),"-",'Electric old'!G114)</f>
        <v/>
      </c>
      <c r="D114" s="293" t="s">
        <v>88</v>
      </c>
      <c r="E114" s="292">
        <f>IF(ISBLANK('Water Old'!G114),"-",'Water Old'!G114)</f>
        <v/>
      </c>
      <c r="F114" s="292">
        <f>SUM(C114:E114)</f>
        <v/>
      </c>
      <c r="G114" s="294">
        <f>F114</f>
        <v/>
      </c>
    </row>
    <row r="115" spans="1:15">
      <c r="B115" s="48">
        <f>B103</f>
        <v/>
      </c>
      <c r="C115" s="292">
        <f>IF(ISBLANK('Electric old'!G115),"-",'Electric old'!G115)</f>
        <v/>
      </c>
      <c r="D115" s="292">
        <f>IF(ISBLANK(2/24*('Gas Old'!$H$4+'Gas Old'!$H$13)),"-",2/24*('Gas Old'!$H$4+'Gas Old'!$H$13))</f>
        <v/>
      </c>
      <c r="E115" s="292">
        <f>IF(ISBLANK('Water Old'!G115),"-",'Water Old'!G115)</f>
        <v/>
      </c>
      <c r="F115" s="292">
        <f>SUM(C115:E115)</f>
        <v/>
      </c>
      <c r="G115" s="294">
        <f>F115+G114</f>
        <v/>
      </c>
    </row>
    <row r="116" spans="1:15">
      <c r="B116" s="48">
        <f>B104</f>
        <v/>
      </c>
      <c r="C116" s="292">
        <f>IF(ISBLANK('Electric old'!G116),"-",'Electric old'!G116)</f>
        <v/>
      </c>
      <c r="D116" s="292">
        <f>IF(ISBLANK(2/24*('Gas Old'!$H$5+'Gas Old'!$H$14)),"-",2/24*('Gas Old'!$H$5+'Gas Old'!$H$14))</f>
        <v/>
      </c>
      <c r="E116" s="292">
        <f>IF(ISBLANK('Water Old'!G116),"-",'Water Old'!G116)</f>
        <v/>
      </c>
      <c r="F116" s="292">
        <f>SUM(C116:E116)</f>
        <v/>
      </c>
      <c r="G116" s="294">
        <f>F116+G115</f>
        <v/>
      </c>
    </row>
    <row r="117" spans="1:15">
      <c r="B117" s="48">
        <f>B105</f>
        <v/>
      </c>
      <c r="C117" s="292">
        <f>IF(ISBLANK('Electric old'!G117),"-",'Electric old'!G117)</f>
        <v/>
      </c>
      <c r="D117" s="292">
        <f>IF(ISBLANK(2/24*('Gas Old'!$H$6+'Gas Old'!$H$15)),"-",2/24*('Gas Old'!$H$6+'Gas Old'!$H$15))</f>
        <v/>
      </c>
      <c r="E117" s="292">
        <f>IF(ISBLANK('Water Old'!G117),"-",'Water Old'!G117)</f>
        <v/>
      </c>
      <c r="F117" s="292">
        <f>SUM(C117:E117)</f>
        <v/>
      </c>
      <c r="G117" s="294">
        <f>F117+G116</f>
        <v/>
      </c>
    </row>
    <row r="118" spans="1:15">
      <c r="B118" s="48">
        <f>B106</f>
        <v/>
      </c>
      <c r="C118" s="292">
        <f>IF(ISBLANK('Electric old'!G118),"-",'Electric old'!G118)</f>
        <v/>
      </c>
      <c r="D118" s="292">
        <f>IF(ISBLANK(2/24*('Gas Old'!$H$7+'Gas Old'!$H$16)),"-",2/24*('Gas Old'!$H$7+'Gas Old'!$H$16))</f>
        <v/>
      </c>
      <c r="E118" s="292">
        <f>IF(ISBLANK('Water Old'!G118),"-",'Water Old'!G118)</f>
        <v/>
      </c>
      <c r="F118" s="292">
        <f>SUM(C118:E118)</f>
        <v/>
      </c>
      <c r="G118" s="294">
        <f>F118+G117</f>
        <v/>
      </c>
    </row>
    <row r="119" spans="1:15">
      <c r="B119" s="48">
        <f>B107</f>
        <v/>
      </c>
      <c r="C119" s="292">
        <f>IF(ISBLANK('Electric old'!G119),"-",'Electric old'!G119)</f>
        <v/>
      </c>
      <c r="D119" s="292">
        <f>IF(ISBLANK(2/24*('Gas Old'!$H$8+'Gas Old'!$H$17)),"-",2/24*('Gas Old'!$H$8+'Gas Old'!$H$17))</f>
        <v/>
      </c>
      <c r="E119" s="292">
        <f>IF(ISBLANK('Water Old'!G119),"-",'Water Old'!G119)</f>
        <v/>
      </c>
      <c r="F119" s="292">
        <f>SUM(C119:E119)</f>
        <v/>
      </c>
      <c r="G119" s="294">
        <f>F119+G118</f>
        <v/>
      </c>
    </row>
    <row r="120" spans="1:15">
      <c r="B120" s="48">
        <f>B108</f>
        <v/>
      </c>
      <c r="C120" s="292">
        <f>IF(ISBLANK('Electric old'!G120),"-",'Electric old'!G120)</f>
        <v/>
      </c>
      <c r="D120" s="292">
        <f>IF(ISBLANK(2/24*('Gas Old'!$H9+'Gas Old'!$H18)),"-",2/24*('Gas Old'!$H9+'Gas Old'!$H18))</f>
        <v/>
      </c>
      <c r="E120" s="292">
        <f>IF(ISBLANK('Water Old'!G120),"-",'Water Old'!G120)</f>
        <v/>
      </c>
      <c r="F120" s="292">
        <f>SUM(C120:E120)</f>
        <v/>
      </c>
      <c r="G120" s="294">
        <f>F120+G119</f>
        <v/>
      </c>
    </row>
    <row r="121" spans="1:15">
      <c r="B121" s="48">
        <f>B109</f>
        <v/>
      </c>
      <c r="C121" s="292">
        <f>IF(ISBLANK('Electric old'!G121),"-",'Electric old'!G121)</f>
        <v/>
      </c>
      <c r="D121" s="292">
        <f>IF(ISBLANK(2/24*('Gas Old'!$H10+'Gas Old'!$H19)),"-",2/24*('Gas Old'!$H10+'Gas Old'!$H19))</f>
        <v/>
      </c>
      <c r="E121" s="292">
        <f>IF(ISBLANK('Water Old'!G121),"-",'Water Old'!G121)</f>
        <v/>
      </c>
      <c r="F121" s="292">
        <f>SUM(C121:E121)</f>
        <v/>
      </c>
      <c r="G121" s="294">
        <f>F121+G120</f>
        <v/>
      </c>
    </row>
    <row r="122" spans="1:15">
      <c r="B122" s="48">
        <f>B110</f>
        <v/>
      </c>
      <c r="C122" s="292">
        <f>IF(ISBLANK('Electric old'!G122),"-",'Electric old'!G122)</f>
        <v/>
      </c>
      <c r="D122" s="292">
        <f>IF(ISBLANK(2/24*('Gas Old'!$H11+'Gas Old'!$H20)),"-",2/24*('Gas Old'!$H11+'Gas Old'!$H20))</f>
        <v/>
      </c>
      <c r="E122" s="292">
        <f>IF(ISBLANK('Water Old'!G122),"-",'Water Old'!G122)</f>
        <v/>
      </c>
      <c r="F122" s="292">
        <f>SUM(C122:E122)</f>
        <v/>
      </c>
      <c r="G122" s="294">
        <f>F122+G121</f>
        <v/>
      </c>
    </row>
    <row r="123" spans="1:15">
      <c r="B123" s="48">
        <f>B111</f>
        <v/>
      </c>
      <c r="C123" s="292">
        <f>IF(ISBLANK('Electric old'!G123),"-",'Electric old'!G123)</f>
        <v/>
      </c>
      <c r="D123" s="292">
        <f>IF(ISBLANK(2/24*('Gas Old'!$H12+'Gas Old'!$H21)),"-",2/24*('Gas Old'!$H12+'Gas Old'!$H21))</f>
        <v/>
      </c>
      <c r="E123" s="292">
        <f>IF(ISBLANK('Water Old'!G123),"-",'Water Old'!G123)</f>
        <v/>
      </c>
      <c r="F123" s="292">
        <f>SUM(C123:E123)</f>
        <v/>
      </c>
      <c r="G123" s="294">
        <f>F123+G122</f>
        <v/>
      </c>
      <c r="I123" s="204" t="n"/>
      <c r="J123" s="52" t="n"/>
      <c r="K123" s="203" t="n"/>
      <c r="L123" s="203" t="n"/>
      <c r="M123" s="204" t="n"/>
      <c r="N123" s="204" t="n"/>
      <c r="O123" s="204" t="n"/>
    </row>
    <row customHeight="1" ht="12.75" r="124" s="146" spans="1:15">
      <c r="A124" s="236" t="s">
        <v>80</v>
      </c>
      <c r="B124" s="48">
        <f>B112</f>
        <v/>
      </c>
      <c r="C124" s="292">
        <f>IF(ISBLANK('Electric old'!G124),"-",'Electric old'!G124)</f>
        <v/>
      </c>
      <c r="D124" s="293" t="s">
        <v>88</v>
      </c>
      <c r="E124" s="292">
        <f>IF(ISBLANK('Water Old'!G124),"-",'Water Old'!G124)</f>
        <v/>
      </c>
      <c r="F124" s="293" t="s">
        <v>88</v>
      </c>
      <c r="G124" s="293" t="s">
        <v>88</v>
      </c>
      <c r="J124" s="205" t="n"/>
      <c r="K124" s="296" t="n"/>
      <c r="L124" s="296" t="n"/>
      <c r="M124" s="296" t="n"/>
      <c r="N124" s="296" t="n"/>
      <c r="O124" s="296" t="n"/>
    </row>
    <row r="125" spans="1:15">
      <c r="B125" s="48">
        <f>B113</f>
        <v/>
      </c>
      <c r="C125" s="292">
        <f>IF(ISBLANK('Electric old'!G125),"-",'Electric old'!G125)</f>
        <v/>
      </c>
      <c r="D125" s="293" t="s">
        <v>88</v>
      </c>
      <c r="E125" s="292">
        <f>IF(ISBLANK('Water Old'!G125),"-",'Water Old'!G125)</f>
        <v/>
      </c>
      <c r="F125" s="293" t="s">
        <v>88</v>
      </c>
      <c r="G125" s="293" t="s">
        <v>88</v>
      </c>
      <c r="J125" s="205" t="n"/>
      <c r="K125" s="296" t="n"/>
      <c r="L125" s="296" t="n"/>
      <c r="M125" s="296" t="n"/>
      <c r="N125" s="296" t="n"/>
      <c r="O125" s="296" t="n"/>
    </row>
    <row r="126" spans="1:15">
      <c r="B126" s="48">
        <f>B114</f>
        <v/>
      </c>
      <c r="C126" s="292">
        <f>IF(ISBLANK('Electric old'!G126),"-",'Electric old'!G126)</f>
        <v/>
      </c>
      <c r="D126" s="293" t="s">
        <v>88</v>
      </c>
      <c r="E126" s="292">
        <f>IF(ISBLANK('Water Old'!G126),"-",'Water Old'!G126)</f>
        <v/>
      </c>
      <c r="F126" s="292">
        <f>SUM(C126:E126)</f>
        <v/>
      </c>
      <c r="G126" s="294">
        <f>F126</f>
        <v/>
      </c>
      <c r="J126" s="205" t="n"/>
      <c r="K126" s="296" t="n"/>
      <c r="L126" s="296" t="n"/>
      <c r="M126" s="296" t="n"/>
      <c r="N126" s="296" t="n"/>
      <c r="O126" s="296" t="n"/>
    </row>
    <row r="127" spans="1:15">
      <c r="B127" s="48">
        <f>B115</f>
        <v/>
      </c>
      <c r="C127" s="292">
        <f>IF(ISBLANK('Electric old'!G127),"-",'Electric old'!G127)</f>
        <v/>
      </c>
      <c r="D127" s="292">
        <f>IF(ISBLANK(2/24*('Gas Old'!$H$4+'Gas Old'!$H$13)),"-",2/24*('Gas Old'!$H$4+'Gas Old'!$H$13))</f>
        <v/>
      </c>
      <c r="E127" s="292">
        <f>IF(ISBLANK('Water Old'!G127),"-",'Water Old'!G127)</f>
        <v/>
      </c>
      <c r="F127" s="292">
        <f>SUM(C127:E127)</f>
        <v/>
      </c>
      <c r="G127" s="294">
        <f>F127+G126</f>
        <v/>
      </c>
      <c r="J127" s="205" t="n"/>
      <c r="K127" s="296" t="n"/>
      <c r="L127" s="296" t="n"/>
      <c r="M127" s="296" t="n"/>
      <c r="N127" s="296" t="n"/>
      <c r="O127" s="296" t="n"/>
    </row>
    <row r="128" spans="1:15">
      <c r="B128" s="48">
        <f>B116</f>
        <v/>
      </c>
      <c r="C128" s="292">
        <f>IF(ISBLANK('Electric old'!G128),"-",'Electric old'!G128)</f>
        <v/>
      </c>
      <c r="D128" s="292">
        <f>IF(ISBLANK(2/24*('Gas Old'!$H$5+'Gas Old'!$H$14)),"-",2/24*('Gas Old'!$H$5+'Gas Old'!$H$14))</f>
        <v/>
      </c>
      <c r="E128" s="292">
        <f>IF(ISBLANK('Water Old'!G128),"-",'Water Old'!G128)</f>
        <v/>
      </c>
      <c r="F128" s="292">
        <f>SUM(C128:E128)</f>
        <v/>
      </c>
      <c r="G128" s="294">
        <f>F128+G127</f>
        <v/>
      </c>
      <c r="J128" s="205" t="n"/>
      <c r="K128" s="296" t="n"/>
      <c r="L128" s="296" t="n"/>
      <c r="M128" s="296" t="n"/>
      <c r="N128" s="296" t="n"/>
      <c r="O128" s="296" t="n"/>
    </row>
    <row r="129" spans="1:15">
      <c r="B129" s="48">
        <f>B117</f>
        <v/>
      </c>
      <c r="C129" s="292">
        <f>IF(ISBLANK('Electric old'!G129),"-",'Electric old'!G129)</f>
        <v/>
      </c>
      <c r="D129" s="292">
        <f>IF(ISBLANK(2/24*('Gas Old'!$H$6+'Gas Old'!$H$15)),"-",2/24*('Gas Old'!$H$6+'Gas Old'!$H$15))</f>
        <v/>
      </c>
      <c r="E129" s="292">
        <f>IF(ISBLANK('Water Old'!G129),"-",'Water Old'!G129)</f>
        <v/>
      </c>
      <c r="F129" s="292">
        <f>SUM(C129:E129)</f>
        <v/>
      </c>
      <c r="G129" s="294">
        <f>F129+G128</f>
        <v/>
      </c>
      <c r="J129" s="205" t="n"/>
      <c r="K129" s="296" t="n"/>
      <c r="L129" s="296" t="n"/>
      <c r="M129" s="296" t="n"/>
      <c r="N129" s="296" t="n"/>
      <c r="O129" s="296" t="n"/>
    </row>
    <row r="130" spans="1:15">
      <c r="B130" s="48">
        <f>B118</f>
        <v/>
      </c>
      <c r="C130" s="292">
        <f>IF(ISBLANK('Electric old'!G130),"-",'Electric old'!G130)</f>
        <v/>
      </c>
      <c r="D130" s="292">
        <f>IF(ISBLANK(2/24*('Gas Old'!$H$7+'Gas Old'!$H$16)),"-",2/24*('Gas Old'!$H$7+'Gas Old'!$H$16))</f>
        <v/>
      </c>
      <c r="E130" s="292">
        <f>IF(ISBLANK('Water Old'!G130),"-",'Water Old'!G130)</f>
        <v/>
      </c>
      <c r="F130" s="292">
        <f>SUM(C130:E130)</f>
        <v/>
      </c>
      <c r="G130" s="294">
        <f>F130+G129</f>
        <v/>
      </c>
      <c r="J130" s="205" t="n"/>
      <c r="K130" s="296" t="n"/>
      <c r="L130" s="296" t="n"/>
      <c r="M130" s="296" t="n"/>
      <c r="N130" s="296" t="n"/>
      <c r="O130" s="296" t="n"/>
    </row>
    <row r="131" spans="1:15">
      <c r="B131" s="48">
        <f>B119</f>
        <v/>
      </c>
      <c r="C131" s="292">
        <f>IF(ISBLANK('Electric old'!G131),"-",'Electric old'!G131)</f>
        <v/>
      </c>
      <c r="D131" s="292">
        <f>IF(ISBLANK(2/24*('Gas Old'!$H$8+'Gas Old'!$H$17)),"-",2/24*('Gas Old'!$H$8+'Gas Old'!$H$17))</f>
        <v/>
      </c>
      <c r="E131" s="292">
        <f>IF(ISBLANK('Water Old'!G131),"-",'Water Old'!G131)</f>
        <v/>
      </c>
      <c r="F131" s="292">
        <f>SUM(C131:E131)</f>
        <v/>
      </c>
      <c r="G131" s="294">
        <f>F131+G130</f>
        <v/>
      </c>
      <c r="J131" s="205" t="n"/>
      <c r="K131" s="296" t="n"/>
      <c r="L131" s="296" t="n"/>
      <c r="M131" s="296" t="n"/>
      <c r="N131" s="296" t="n"/>
      <c r="O131" s="296" t="n"/>
    </row>
    <row r="132" spans="1:15">
      <c r="B132" s="48">
        <f>B120</f>
        <v/>
      </c>
      <c r="C132" s="292">
        <f>IF(ISBLANK('Electric old'!G132),"-",'Electric old'!G132)</f>
        <v/>
      </c>
      <c r="D132" s="292">
        <f>IF(ISBLANK(2/24*('Gas Old'!$H9+'Gas Old'!$H18)),"-",2/24*('Gas Old'!$H9+'Gas Old'!$H18))</f>
        <v/>
      </c>
      <c r="E132" s="292">
        <f>IF(ISBLANK('Water Old'!G132),"-",'Water Old'!G132)</f>
        <v/>
      </c>
      <c r="F132" s="292">
        <f>SUM(C132:E132)</f>
        <v/>
      </c>
      <c r="G132" s="294">
        <f>F132+G131</f>
        <v/>
      </c>
      <c r="J132" s="205" t="n"/>
      <c r="K132" s="296" t="n"/>
      <c r="L132" s="296" t="n"/>
      <c r="M132" s="296" t="n"/>
      <c r="N132" s="296" t="n"/>
      <c r="O132" s="296" t="n"/>
    </row>
    <row r="133" spans="1:15">
      <c r="B133" s="48">
        <f>B121</f>
        <v/>
      </c>
      <c r="C133" s="292">
        <f>IF(ISBLANK('Electric old'!G133),"-",'Electric old'!G133)</f>
        <v/>
      </c>
      <c r="D133" s="292">
        <f>IF(ISBLANK(2/24*('Gas Old'!$H10+'Gas Old'!$H19)),"-",2/24*('Gas Old'!$H10+'Gas Old'!$H19))</f>
        <v/>
      </c>
      <c r="E133" s="292">
        <f>IF(ISBLANK('Water Old'!G133),"-",'Water Old'!G133)</f>
        <v/>
      </c>
      <c r="F133" s="292">
        <f>SUM(C133:E133)</f>
        <v/>
      </c>
      <c r="G133" s="294">
        <f>F133+G132</f>
        <v/>
      </c>
      <c r="J133" s="205" t="n"/>
      <c r="K133" s="296" t="n"/>
      <c r="L133" s="296" t="n"/>
      <c r="M133" s="296" t="n"/>
      <c r="N133" s="296" t="n"/>
      <c r="O133" s="296" t="n"/>
    </row>
    <row r="134" spans="1:15">
      <c r="B134" s="48">
        <f>B122</f>
        <v/>
      </c>
      <c r="C134" s="292">
        <f>IF(ISBLANK('Electric old'!G134),"-",'Electric old'!G134)</f>
        <v/>
      </c>
      <c r="D134" s="292">
        <f>IF(ISBLANK(2/24*('Gas Old'!$H11+'Gas Old'!$H20)),"-",2/24*('Gas Old'!$H11+'Gas Old'!$H20))</f>
        <v/>
      </c>
      <c r="E134" s="292">
        <f>IF(ISBLANK('Water Old'!G134),"-",'Water Old'!G134)</f>
        <v/>
      </c>
      <c r="F134" s="292">
        <f>SUM(C134:E134)</f>
        <v/>
      </c>
      <c r="G134" s="294">
        <f>F134+G133</f>
        <v/>
      </c>
      <c r="J134" s="205" t="n"/>
      <c r="K134" s="296" t="n"/>
      <c r="L134" s="296" t="n"/>
      <c r="M134" s="296" t="n"/>
      <c r="N134" s="296" t="n"/>
      <c r="O134" s="296" t="n"/>
    </row>
    <row r="135" spans="1:15">
      <c r="B135" s="48">
        <f>B123</f>
        <v/>
      </c>
      <c r="C135" s="292">
        <f>IF(ISBLANK('Electric old'!G135),"-",'Electric old'!G135)</f>
        <v/>
      </c>
      <c r="D135" s="292">
        <f>IF(ISBLANK(2/24*('Gas Old'!$H12+'Gas Old'!$H21)),"-",2/24*('Gas Old'!$H12+'Gas Old'!$H21))</f>
        <v/>
      </c>
      <c r="E135" s="292">
        <f>IF(ISBLANK('Water Old'!G135),"-",'Water Old'!G135)</f>
        <v/>
      </c>
      <c r="F135" s="292">
        <f>SUM(C135:E135)</f>
        <v/>
      </c>
      <c r="G135" s="294">
        <f>F135+G134</f>
        <v/>
      </c>
      <c r="J135" s="205" t="n"/>
      <c r="K135" s="296" t="n"/>
      <c r="L135" s="296" t="n"/>
      <c r="M135" s="296" t="n"/>
      <c r="N135" s="296" t="n"/>
      <c r="O135" s="296" t="n"/>
    </row>
    <row r="136" spans="1:15">
      <c r="A136" s="236" t="s">
        <v>100</v>
      </c>
      <c r="B136" s="48">
        <f>B124</f>
        <v/>
      </c>
      <c r="C136" s="292">
        <f>IF(ISERR(C4+C16+C28+C40+C52+C64+C76+C88+C100+C112+C124), "-", (C4+C16+C28+C40+C52+C64+C76+C88+C100+C112+C124))</f>
        <v/>
      </c>
      <c r="D136" s="292">
        <f>IF(ISERR(D4+D16+D28+D40+D52+D64+D76+D88+D100+D112+D124), "-", (D4+D16+D28+D40+D52+D64+D76+D88+D100+D112+D124))</f>
        <v/>
      </c>
      <c r="E136" s="292">
        <f>IF(ISERR(E4+E16+E28+E40+E52+E64+E76+E88+E100+E112+E124), "-", (E4+E16+E28+E40+E52+E64+E76+E88+E100+E112+E124))</f>
        <v/>
      </c>
      <c r="F136" s="293" t="s">
        <v>88</v>
      </c>
      <c r="G136" s="293" t="s">
        <v>88</v>
      </c>
    </row>
    <row r="137" spans="1:15">
      <c r="B137" s="48">
        <f>B125</f>
        <v/>
      </c>
      <c r="C137" s="292">
        <f>IF(ISERR(C5+C17+C29+C41+C53+C65+C77+C89+C101+C113+C125), "-", (C5+C17+C29+C41+C53+C65+C77+C89+C101+C113+C125))</f>
        <v/>
      </c>
      <c r="D137" s="292">
        <f>IF(ISERR(D5+D17+D29+D41+D53+D65+D77+D89+D101+D113+D125), "-", (D5+D17+D29+D41+D53+D65+D77+D89+D101+D113+D125))</f>
        <v/>
      </c>
      <c r="E137" s="292">
        <f>IF(ISERR(E5+E17+E29+E41+E53+E65+E77+E89+E101+E113+E125), "-", (E5+E17+E29+E41+E53+E65+E77+E89+E101+E113+E125))</f>
        <v/>
      </c>
      <c r="F137" s="293" t="s">
        <v>88</v>
      </c>
      <c r="G137" s="293" t="s">
        <v>88</v>
      </c>
    </row>
    <row r="138" spans="1:15">
      <c r="B138" s="48">
        <f>B126</f>
        <v/>
      </c>
      <c r="C138" s="292">
        <f>IF(ISERR(C6+C18+C30+C42+C54+C66+C78+C90+C102+C114+C126), "-", (C6+C18+C30+C42+C54+C66+C78+C90+C102+C114+C126))</f>
        <v/>
      </c>
      <c r="D138" s="292">
        <f>IF(ISERR(D6+D18+D30+D42+D54+D66+D78+D90+D102+D114+D126), "-", (D6+D18+D30+D42+D54+D66+D78+D90+D102+D114+D126))</f>
        <v/>
      </c>
      <c r="E138" s="292">
        <f>IF(ISERR(E6+E18+E30+E42+E54+E66+E78+E90+E102+E114+E126), "-", (E6+E18+E30+E42+E54+E66+E78+E90+E102+E114+E126))</f>
        <v/>
      </c>
      <c r="F138" s="292">
        <f>SUM(C138:E138)</f>
        <v/>
      </c>
      <c r="G138" s="294">
        <f>F138</f>
        <v/>
      </c>
    </row>
    <row r="139" spans="1:15">
      <c r="B139" s="48">
        <f>B127</f>
        <v/>
      </c>
      <c r="C139" s="292">
        <f>IF(ISERR(C7+C19+C31+C43+C55+C67+C79+C91+C103+C115+C127), "-", (C7+C19+C31+C43+C55+C67+C79+C91+C103+C115+C127))</f>
        <v/>
      </c>
      <c r="D139" s="292">
        <f>IF(ISERR(D7+D19+D31+D43+D55+D67+D79+D91+D103+D115+D127), "-", (D7+D19+D31+D43+D55+D67+D79+D91+D103+D115+D127))</f>
        <v/>
      </c>
      <c r="E139" s="292">
        <f>IF(ISERR(E7+E19+E31+E43+E55+E67+E79+E91+E103+E115+E127), "-", (E7+E19+E31+E43+E55+E67+E79+E91+E103+E115+E127))</f>
        <v/>
      </c>
      <c r="F139" s="292">
        <f>SUM(C139:E139)</f>
        <v/>
      </c>
      <c r="G139" s="294">
        <f>F139+G138</f>
        <v/>
      </c>
    </row>
    <row r="140" spans="1:15">
      <c r="B140" s="48">
        <f>B128</f>
        <v/>
      </c>
      <c r="C140" s="292">
        <f>IF(ISERR(C8+C20+C32+C44+C56+C68+C80+C92+C104+C116+C128), "-", (C8+C20+C32+C44+C56+C68+C80+C92+C104+C116+C128))</f>
        <v/>
      </c>
      <c r="D140" s="292">
        <f>IF(ISERR(D8+D20+D32+D44+D56+D68+D80+D92+D104+D116+D128), "-", (D8+D20+D32+D44+D56+D68+D80+D92+D104+D116+D128))</f>
        <v/>
      </c>
      <c r="E140" s="292">
        <f>IF(ISERR(E8+E20+E32+E44+E56+E68+E80+E92+E104+E116+E128), "-", (E8+E20+E32+E44+E56+E68+E80+E92+E104+E116+E128))</f>
        <v/>
      </c>
      <c r="F140" s="292">
        <f>SUM(C140:E140)</f>
        <v/>
      </c>
      <c r="G140" s="294">
        <f>F140+G139</f>
        <v/>
      </c>
    </row>
    <row r="141" spans="1:15">
      <c r="B141" s="48">
        <f>B129</f>
        <v/>
      </c>
      <c r="C141" s="292">
        <f>IF(ISERR(C9+C21+C33+C45+C57+C69+C81+C93+C105+C117+C129), "-", (C9+C21+C33+C45+C57+C69+C81+C93+C105+C117+C129))</f>
        <v/>
      </c>
      <c r="D141" s="292">
        <f>IF(ISERR(D9+D21+D33+D45+D57+D69+D81+D93+D105+D117+D129), "-", (D9+D21+D33+D45+D57+D69+D81+D93+D105+D117+D129))</f>
        <v/>
      </c>
      <c r="E141" s="292">
        <f>IF(ISERR(E9+E21+E33+E45+E57+E69+E81+E93+E105+E117+E129), "-", (E9+E21+E33+E45+E57+E69+E81+E93+E105+E117+E129))</f>
        <v/>
      </c>
      <c r="F141" s="292">
        <f>SUM(C141:E141)</f>
        <v/>
      </c>
      <c r="G141" s="294">
        <f>F141+G140</f>
        <v/>
      </c>
    </row>
    <row r="142" spans="1:15">
      <c r="B142" s="48">
        <f>B130</f>
        <v/>
      </c>
      <c r="C142" s="292">
        <f>IF(ISERR(C10+C22+C34+C46+C58+C70+C82+C94+C106+C118+C130), "-", (C10+C22+C34+C46+C58+C70+C82+C94+C106+C118+C130))</f>
        <v/>
      </c>
      <c r="D142" s="292">
        <f>IF(ISERR(D10+D22+D34+D46+D58+D70+D82+D94+D106+D118+D130), "-", (D10+D22+D34+D46+D58+D70+D82+D94+D106+D118+D130))</f>
        <v/>
      </c>
      <c r="E142" s="292">
        <f>IF(ISERR(E10+E22+E34+E46+E58+E70+E82+E94+E106+E118+E130), "-", (E10+E22+E34+E46+E58+E70+E82+E94+E106+E118+E130))</f>
        <v/>
      </c>
      <c r="F142" s="292">
        <f>SUM(C142:E142)</f>
        <v/>
      </c>
      <c r="G142" s="294">
        <f>F142+G141</f>
        <v/>
      </c>
    </row>
    <row r="143" spans="1:15">
      <c r="B143" s="48">
        <f>B131</f>
        <v/>
      </c>
      <c r="C143" s="292">
        <f>IF(ISERR(C11+C23+C35+C47+C59+C71+C83+C95+C107+C119+C131), "-", (C11+C23+C35+C47+C59+C71+C83+C95+C107+C119+C131))</f>
        <v/>
      </c>
      <c r="D143" s="292">
        <f>IF(ISERR(D11+D23+D35+D47+D59+D71+D83+D95+D107+D119+D131), "-", (D11+D23+D35+D47+D59+D71+D83+D95+D107+D119+D131))</f>
        <v/>
      </c>
      <c r="E143" s="292">
        <f>IF(ISERR(E11+E23+E35+E47+E59+E71+E83+E95+E107+E119+E131), "-", (E11+E23+E35+E47+E59+E71+E83+E95+E107+E119+E131))</f>
        <v/>
      </c>
      <c r="F143" s="292">
        <f>SUM(C143:E143)</f>
        <v/>
      </c>
      <c r="G143" s="294">
        <f>F143+G142</f>
        <v/>
      </c>
    </row>
    <row r="144" spans="1:15">
      <c r="B144" s="48">
        <f>B132</f>
        <v/>
      </c>
      <c r="C144" s="292">
        <f>IF(ISERR(C12+C24+C36+C48+C60+C72+C84+C96+C108+C120+C132), "-", (C12+C24+C36+C48+C60+C72+C84+C96+C108+C120+C132))</f>
        <v/>
      </c>
      <c r="D144" s="292">
        <f>IF(ISERR(D12+D24+D36+D48+D60+D72+D84+D96+D108+D120+D132), "-", (D12+D24+D36+D48+D60+D72+D84+D96+D108+D120+D132))</f>
        <v/>
      </c>
      <c r="E144" s="292">
        <f>IF(ISERR(E12+E24+E36+E48+E60+E72+E84+E96+E108+E120+E132), "-", (E12+E24+E36+E48+E60+E72+E84+E96+E108+E120+E132))</f>
        <v/>
      </c>
      <c r="F144" s="292">
        <f>SUM(C144:E144)</f>
        <v/>
      </c>
      <c r="G144" s="294">
        <f>F144+G143</f>
        <v/>
      </c>
    </row>
    <row r="145" spans="1:15">
      <c r="B145" s="48">
        <f>B133</f>
        <v/>
      </c>
      <c r="C145" s="292">
        <f>IF(ISERR(C13+C25+C37+C49+C61+C73+C85+C97+C109+C121+C133), "-", (C13+C25+C37+C49+C61+C73+C85+C97+C109+C121+C133))</f>
        <v/>
      </c>
      <c r="D145" s="292">
        <f>IF(ISERR(D13+D25+D37+D49+D61+D73+D85+D97+D109+D121+D133), "-", (D13+D25+D37+D49+D61+D73+D85+D97+D109+D121+D133))</f>
        <v/>
      </c>
      <c r="E145" s="292" t="n">
        <v>1110.636782486507</v>
      </c>
      <c r="F145" s="292">
        <f>SUM(C145:E145)</f>
        <v/>
      </c>
      <c r="G145" s="294">
        <f>F145+G144</f>
        <v/>
      </c>
    </row>
    <row r="146" spans="1:15">
      <c r="B146" s="48">
        <f>B134</f>
        <v/>
      </c>
      <c r="C146" s="292">
        <f>IF(ISERR(C14+C26+C38+C50+C62+C74+C86+C98+C110+C122+C134), "-", (C14+C26+C38+C50+C62+C74+C86+C98+C110+C122+C134))</f>
        <v/>
      </c>
      <c r="D146" s="292">
        <f>IF(ISERR(D14+D26+D38+D50+D62+D74+D86+D98+D110+D122+D134), "-", (D14+D26+D38+D50+D62+D74+D86+D98+D110+D122+D134))</f>
        <v/>
      </c>
      <c r="E146" s="292" t="n">
        <v>525.8346912071812</v>
      </c>
      <c r="F146" s="292">
        <f>SUM(C146:E146)</f>
        <v/>
      </c>
      <c r="G146" s="294">
        <f>F146+G145</f>
        <v/>
      </c>
    </row>
    <row r="147" spans="1:15">
      <c r="B147" s="48">
        <f>B135</f>
        <v/>
      </c>
      <c r="C147" s="292">
        <f>IF(ISERR(C15+C27+C39+C51+C63+C75+C87+C99+C111+C123+C135), "-", (C15+C27+C39+C51+C63+C75+C87+C99+C111+C123+C135))</f>
        <v/>
      </c>
      <c r="D147" s="292">
        <f>IF(ISERR(D15+D27+D39+D51+D63+D75+D87+D99+D111+D123+D135), "-", (D15+D27+D39+D51+D63+D75+D87+D99+D111+D123+D135))</f>
        <v/>
      </c>
      <c r="E147" s="292">
        <f>IF(ISERR(E15+E27+E39+E51+E63+E75+E87+E99+E111+E123+E135), "-", (E15+E27+E39+E51+E63+E75+E87+E99+E111+E123+E135))</f>
        <v/>
      </c>
      <c r="F147" s="292">
        <f>SUM(C147:E147)</f>
        <v/>
      </c>
      <c r="G147" s="294">
        <f>F147+G146</f>
        <v/>
      </c>
    </row>
    <row r="149" spans="1:15">
      <c r="A149" s="148" t="s">
        <v>19</v>
      </c>
    </row>
    <row r="150" spans="1:15">
      <c r="A150" s="148" t="s">
        <v>101</v>
      </c>
    </row>
    <row r="151" spans="1:15">
      <c r="A151" s="124" t="s">
        <v>22</v>
      </c>
    </row>
    <row r="152" spans="1:15">
      <c r="A152" s="124" t="s">
        <v>23</v>
      </c>
    </row>
    <row r="153" spans="1:15">
      <c r="A153" s="124" t="s">
        <v>24</v>
      </c>
    </row>
    <row r="154" spans="1:15">
      <c r="A154" s="124" t="s">
        <v>25</v>
      </c>
    </row>
    <row r="155" spans="1:15">
      <c r="A155" s="124" t="s">
        <v>102</v>
      </c>
    </row>
    <row r="156" spans="1:15">
      <c r="A156" s="124" t="s">
        <v>27</v>
      </c>
    </row>
    <row r="157" spans="1:15">
      <c r="A157" s="124" t="s">
        <v>28</v>
      </c>
    </row>
    <row r="158" spans="1:15">
      <c r="A158" s="124" t="s">
        <v>29</v>
      </c>
    </row>
    <row r="159" spans="1:15">
      <c r="A159" s="124" t="s">
        <v>30</v>
      </c>
    </row>
    <row r="160" spans="1:15">
      <c r="A160" s="124" t="s">
        <v>103</v>
      </c>
    </row>
    <row r="161" spans="1:15">
      <c r="A161" s="124" t="s">
        <v>104</v>
      </c>
    </row>
  </sheetData>
  <mergeCells count="12">
    <mergeCell ref="A124:A135"/>
    <mergeCell ref="A136:A147"/>
    <mergeCell ref="A64:A75"/>
    <mergeCell ref="A76:A87"/>
    <mergeCell ref="A88:A99"/>
    <mergeCell ref="A100:A111"/>
    <mergeCell ref="A112:A123"/>
    <mergeCell ref="A4:A15"/>
    <mergeCell ref="A16:A27"/>
    <mergeCell ref="A28:A39"/>
    <mergeCell ref="A40:A51"/>
    <mergeCell ref="A52:A63"/>
  </mergeCells>
  <pageMargins bottom="1" footer="0.5" header="0.5" left="0.75" right="0.75" top="1"/>
  <pageSetup orientation="portrait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J208"/>
  <sheetViews>
    <sheetView topLeftCell="A100" workbookViewId="0" zoomScale="85" zoomScaleNormal="85">
      <selection activeCell="A137" sqref="A137:A138"/>
    </sheetView>
  </sheetViews>
  <sheetFormatPr baseColWidth="8" defaultRowHeight="12.75" outlineLevelCol="0"/>
  <cols>
    <col bestFit="1" customWidth="1" max="1" min="1" style="22" width="25.85546875"/>
    <col customWidth="1" max="2" min="2" style="54" width="12"/>
    <col customWidth="1" max="5" min="3" style="54" width="11.140625"/>
    <col bestFit="1" customWidth="1" max="6" min="6" style="54" width="13.42578125"/>
    <col customWidth="1" max="7" min="7" style="54" width="11.140625"/>
    <col bestFit="1" customWidth="1" max="9" min="9" style="146" width="58.85546875"/>
  </cols>
  <sheetData>
    <row customHeight="1" ht="15.75" r="1" s="146" spans="1:10">
      <c r="A1" s="31" t="s">
        <v>105</v>
      </c>
    </row>
    <row customHeight="1" ht="33" r="3" s="146" spans="1:10">
      <c r="A3" s="2" t="s">
        <v>3</v>
      </c>
      <c r="B3" s="55" t="s">
        <v>4</v>
      </c>
      <c r="C3" s="55" t="s">
        <v>106</v>
      </c>
      <c r="D3" s="55" t="s">
        <v>107</v>
      </c>
      <c r="E3" s="55" t="s">
        <v>108</v>
      </c>
      <c r="F3" s="55" t="s">
        <v>33</v>
      </c>
      <c r="G3" s="55" t="s">
        <v>37</v>
      </c>
    </row>
    <row r="4" spans="1:10">
      <c r="A4" s="237" t="s">
        <v>86</v>
      </c>
      <c r="B4" s="6" t="s">
        <v>109</v>
      </c>
      <c r="C4" s="12" t="n">
        <v>39119</v>
      </c>
      <c r="D4" s="13" t="n">
        <v>360022</v>
      </c>
      <c r="E4" s="13">
        <f>D4-D15</f>
        <v/>
      </c>
      <c r="F4" s="297" t="n">
        <v>0.08767848566649554</v>
      </c>
      <c r="G4" s="298">
        <f>E4*F4</f>
        <v/>
      </c>
    </row>
    <row r="5" spans="1:10">
      <c r="B5" s="6" t="s">
        <v>110</v>
      </c>
      <c r="C5" s="12" t="n">
        <v>38782</v>
      </c>
      <c r="D5" s="13" t="n">
        <v>154174</v>
      </c>
      <c r="E5" s="13" t="n">
        <v>22448</v>
      </c>
      <c r="F5" s="297" t="n">
        <v>0.09642004162354066</v>
      </c>
      <c r="G5" s="298">
        <f>E5*F5</f>
        <v/>
      </c>
      <c r="I5" s="205" t="s">
        <v>111</v>
      </c>
      <c r="J5" s="299">
        <f>E13/E5</f>
        <v/>
      </c>
    </row>
    <row r="6" spans="1:10">
      <c r="B6" s="6" t="s">
        <v>112</v>
      </c>
      <c r="C6" s="12" t="n">
        <v>38811</v>
      </c>
      <c r="D6" s="13" t="n">
        <v>180116</v>
      </c>
      <c r="E6" s="13" t="n">
        <v>25942</v>
      </c>
      <c r="F6" s="297" t="n">
        <v>0.09687999999999999</v>
      </c>
      <c r="G6" s="298">
        <f>E6*0.09688</f>
        <v/>
      </c>
      <c r="I6" t="s">
        <v>113</v>
      </c>
      <c r="J6" s="299">
        <f>E11/E5</f>
        <v/>
      </c>
    </row>
    <row r="7" spans="1:10">
      <c r="B7" s="6" t="s">
        <v>114</v>
      </c>
      <c r="C7" s="12" t="n">
        <v>38838</v>
      </c>
      <c r="D7" s="13" t="n">
        <v>201334</v>
      </c>
      <c r="E7" s="13" t="n">
        <v>21218</v>
      </c>
      <c r="F7" s="297" t="n">
        <v>0.10269</v>
      </c>
      <c r="G7" s="298">
        <f>E7*0.10269</f>
        <v/>
      </c>
      <c r="I7" t="s">
        <v>115</v>
      </c>
      <c r="J7" s="299">
        <f>(SUM(E16:E27)+SUM(E4:E15))/SUM(E4:E15)</f>
        <v/>
      </c>
    </row>
    <row r="8" spans="1:10">
      <c r="B8" s="6" t="s">
        <v>116</v>
      </c>
      <c r="C8" s="12" t="n">
        <v>38869</v>
      </c>
      <c r="D8" s="13" t="n">
        <v>220390</v>
      </c>
      <c r="E8" s="13" t="n">
        <v>19056</v>
      </c>
      <c r="F8" s="297" t="n">
        <v>0.12096</v>
      </c>
      <c r="G8" s="298">
        <f>E8*0.12096</f>
        <v/>
      </c>
    </row>
    <row r="9" spans="1:10">
      <c r="B9" s="6" t="s">
        <v>117</v>
      </c>
      <c r="C9" s="12" t="n">
        <v>38896</v>
      </c>
      <c r="D9" s="13" t="n">
        <v>232343</v>
      </c>
      <c r="E9" s="13" t="n">
        <v>11953</v>
      </c>
      <c r="F9" s="297" t="n">
        <v>0.11636932</v>
      </c>
      <c r="G9" s="298">
        <f>E9*0.11636932</f>
        <v/>
      </c>
    </row>
    <row r="10" spans="1:10">
      <c r="B10" s="6" t="s">
        <v>118</v>
      </c>
      <c r="C10" s="12" t="n">
        <v>38925</v>
      </c>
      <c r="D10" s="13" t="n">
        <v>248038</v>
      </c>
      <c r="E10" s="13" t="n">
        <v>15695</v>
      </c>
      <c r="F10" s="297" t="n">
        <v>0.11636932</v>
      </c>
      <c r="G10" s="298">
        <f>E10*0.11636932</f>
        <v/>
      </c>
    </row>
    <row r="11" spans="1:10">
      <c r="B11" s="6" t="s">
        <v>119</v>
      </c>
      <c r="C11" s="12" t="n">
        <v>38965</v>
      </c>
      <c r="D11" s="13" t="n">
        <v>267464</v>
      </c>
      <c r="E11" s="13" t="n">
        <v>19426</v>
      </c>
      <c r="F11" s="297" t="n">
        <v>0.11484</v>
      </c>
      <c r="G11" s="298">
        <f>E11*0.11484</f>
        <v/>
      </c>
    </row>
    <row r="12" spans="1:10">
      <c r="B12" s="6" t="s">
        <v>120</v>
      </c>
      <c r="C12" s="12" t="n">
        <v>38993</v>
      </c>
      <c r="D12" s="13" t="n">
        <v>286756</v>
      </c>
      <c r="E12" s="13" t="n">
        <v>19292</v>
      </c>
      <c r="F12" s="297" t="n">
        <v>0.1272</v>
      </c>
      <c r="G12" s="298">
        <f>E12*F12</f>
        <v/>
      </c>
    </row>
    <row r="13" spans="1:10">
      <c r="B13" s="6" t="s">
        <v>121</v>
      </c>
      <c r="C13" s="12" t="n">
        <v>39035</v>
      </c>
      <c r="D13" s="13" t="n">
        <v>315538</v>
      </c>
      <c r="E13" s="13" t="n">
        <v>28782</v>
      </c>
      <c r="F13" s="297" t="n">
        <v>0.1144</v>
      </c>
      <c r="G13" s="298">
        <f>E13*F13</f>
        <v/>
      </c>
    </row>
    <row r="14" spans="1:10">
      <c r="B14" s="6" t="s">
        <v>122</v>
      </c>
      <c r="C14" s="12" t="n">
        <v>39056</v>
      </c>
      <c r="D14" s="13" t="n">
        <v>328546</v>
      </c>
      <c r="E14" s="13" t="n">
        <v>13008</v>
      </c>
      <c r="F14" s="297" t="n">
        <v>0.0893</v>
      </c>
      <c r="G14" s="298">
        <f>E14*F14</f>
        <v/>
      </c>
    </row>
    <row r="15" spans="1:10">
      <c r="B15" s="6" t="s">
        <v>123</v>
      </c>
      <c r="C15" s="12" t="n">
        <v>38725</v>
      </c>
      <c r="D15" s="13" t="n">
        <v>343366</v>
      </c>
      <c r="E15" s="13" t="n">
        <v>14820</v>
      </c>
      <c r="F15" s="297" t="n">
        <v>0.09071382200188857</v>
      </c>
      <c r="G15" s="298">
        <f>E15*F15</f>
        <v/>
      </c>
    </row>
    <row r="16" spans="1:10">
      <c r="A16" s="237" t="s">
        <v>71</v>
      </c>
      <c r="B16" s="6" t="s">
        <v>109</v>
      </c>
      <c r="C16" s="12" t="n">
        <v>39119</v>
      </c>
      <c r="D16" s="13" t="n">
        <v>174797</v>
      </c>
      <c r="E16" s="13">
        <f>D16-D27</f>
        <v/>
      </c>
      <c r="F16" s="297">
        <f>F4</f>
        <v/>
      </c>
      <c r="G16" s="298">
        <f>E16*F16</f>
        <v/>
      </c>
    </row>
    <row r="17" spans="1:10">
      <c r="B17" s="6" t="s">
        <v>110</v>
      </c>
      <c r="C17" s="12" t="n">
        <v>38782</v>
      </c>
      <c r="D17" s="13" t="n">
        <v>78620</v>
      </c>
      <c r="E17" s="13" t="n">
        <v>11826</v>
      </c>
      <c r="F17" s="297">
        <f>F5</f>
        <v/>
      </c>
      <c r="G17" s="298">
        <f>E17*F17</f>
        <v/>
      </c>
    </row>
    <row r="18" spans="1:10">
      <c r="B18" s="6" t="s">
        <v>112</v>
      </c>
      <c r="C18" s="12" t="n">
        <v>38811</v>
      </c>
      <c r="D18" s="13" t="n">
        <v>87253</v>
      </c>
      <c r="E18" s="13" t="n">
        <v>8633</v>
      </c>
      <c r="F18" s="297" t="n">
        <v>0.09687999999999999</v>
      </c>
      <c r="G18" s="298">
        <f>E18*0.09688</f>
        <v/>
      </c>
    </row>
    <row r="19" spans="1:10">
      <c r="B19" s="6" t="s">
        <v>114</v>
      </c>
      <c r="C19" s="12" t="n">
        <v>38838</v>
      </c>
      <c r="D19" s="13" t="n">
        <v>97941</v>
      </c>
      <c r="E19" s="13" t="n">
        <v>10688</v>
      </c>
      <c r="F19" s="297" t="n">
        <v>0.10269</v>
      </c>
      <c r="G19" s="298">
        <f>E19*0.10269</f>
        <v/>
      </c>
    </row>
    <row r="20" spans="1:10">
      <c r="B20" s="6" t="s">
        <v>116</v>
      </c>
      <c r="C20" s="12" t="n">
        <v>38869</v>
      </c>
      <c r="D20" s="13" t="n">
        <v>104773</v>
      </c>
      <c r="E20" s="13" t="n">
        <v>6832</v>
      </c>
      <c r="F20" s="297" t="n">
        <v>0.12096</v>
      </c>
      <c r="G20" s="298">
        <f>E20*0.12096</f>
        <v/>
      </c>
    </row>
    <row r="21" spans="1:10">
      <c r="B21" s="6" t="s">
        <v>117</v>
      </c>
      <c r="C21" s="12" t="n">
        <v>38896</v>
      </c>
      <c r="D21" s="13" t="n">
        <v>111739</v>
      </c>
      <c r="E21" s="13" t="n">
        <v>6966</v>
      </c>
      <c r="F21" s="297" t="n">
        <v>0.11636932</v>
      </c>
      <c r="G21" s="298">
        <f>E21*0.11636932</f>
        <v/>
      </c>
    </row>
    <row r="22" spans="1:10">
      <c r="B22" s="6" t="s">
        <v>118</v>
      </c>
      <c r="C22" s="12" t="n">
        <v>38925</v>
      </c>
      <c r="D22" s="13" t="n">
        <v>121057</v>
      </c>
      <c r="E22" s="13" t="n">
        <v>9318</v>
      </c>
      <c r="F22" s="297" t="n">
        <v>0.11636932</v>
      </c>
      <c r="G22" s="298">
        <f>E22*0.11636932</f>
        <v/>
      </c>
    </row>
    <row r="23" spans="1:10">
      <c r="B23" s="6" t="s">
        <v>119</v>
      </c>
      <c r="C23" s="12" t="n">
        <v>38965</v>
      </c>
      <c r="D23" s="13" t="n">
        <v>130816</v>
      </c>
      <c r="E23" s="13" t="n">
        <v>9759</v>
      </c>
      <c r="F23" s="297" t="n">
        <v>0.11484</v>
      </c>
      <c r="G23" s="298">
        <f>E23*0.11484</f>
        <v/>
      </c>
    </row>
    <row r="24" spans="1:10">
      <c r="B24" s="6" t="s">
        <v>120</v>
      </c>
      <c r="C24" s="12" t="n">
        <v>38993</v>
      </c>
      <c r="D24" s="13" t="n">
        <v>139074</v>
      </c>
      <c r="E24" s="13" t="n">
        <v>8258</v>
      </c>
      <c r="F24" s="297" t="n">
        <v>0.1272</v>
      </c>
      <c r="G24" s="298">
        <f>E24*F24</f>
        <v/>
      </c>
    </row>
    <row r="25" spans="1:10">
      <c r="B25" s="6" t="s">
        <v>121</v>
      </c>
      <c r="C25" s="12" t="n">
        <v>39035</v>
      </c>
      <c r="D25" s="13" t="n">
        <v>151403</v>
      </c>
      <c r="E25" s="13" t="n">
        <v>12329</v>
      </c>
      <c r="F25" s="297" t="n">
        <v>0.1144</v>
      </c>
      <c r="G25" s="298">
        <f>E25*F25</f>
        <v/>
      </c>
    </row>
    <row r="26" spans="1:10">
      <c r="B26" s="6" t="s">
        <v>122</v>
      </c>
      <c r="C26" s="12" t="n">
        <v>39056</v>
      </c>
      <c r="D26" s="13" t="n">
        <v>157658</v>
      </c>
      <c r="E26" s="13" t="n">
        <v>6255</v>
      </c>
      <c r="F26" s="297" t="n">
        <v>0.0893</v>
      </c>
      <c r="G26" s="298">
        <f>E26*F26</f>
        <v/>
      </c>
    </row>
    <row r="27" spans="1:10">
      <c r="B27" s="6" t="s">
        <v>123</v>
      </c>
      <c r="C27" s="12" t="n">
        <v>38725</v>
      </c>
      <c r="D27" s="13" t="n">
        <v>166196</v>
      </c>
      <c r="E27" s="13" t="n">
        <v>8538</v>
      </c>
      <c r="F27" s="297" t="n">
        <v>0.09071382200188857</v>
      </c>
      <c r="G27" s="298">
        <f>E27*F27</f>
        <v/>
      </c>
    </row>
    <row r="28" spans="1:10">
      <c r="A28" s="237" t="s">
        <v>72</v>
      </c>
      <c r="B28" s="6" t="s">
        <v>109</v>
      </c>
      <c r="C28" s="12" t="n">
        <v>38747</v>
      </c>
      <c r="D28" s="13" t="n">
        <v>32372</v>
      </c>
      <c r="E28" s="13" t="n">
        <v>3501</v>
      </c>
      <c r="F28" s="297">
        <f>F16</f>
        <v/>
      </c>
      <c r="G28" s="298">
        <f>E28*F28</f>
        <v/>
      </c>
    </row>
    <row r="29" spans="1:10">
      <c r="B29" s="6" t="s">
        <v>110</v>
      </c>
      <c r="C29" s="12" t="n">
        <v>38782</v>
      </c>
      <c r="D29" s="13" t="n">
        <v>38477</v>
      </c>
      <c r="E29" s="13" t="n">
        <v>6105</v>
      </c>
      <c r="F29" s="297">
        <f>F17</f>
        <v/>
      </c>
      <c r="G29" s="298">
        <f>E29*F29</f>
        <v/>
      </c>
    </row>
    <row r="30" spans="1:10">
      <c r="B30" s="6" t="s">
        <v>112</v>
      </c>
      <c r="C30" s="12" t="n">
        <v>38811</v>
      </c>
      <c r="D30" s="13" t="n">
        <v>42917</v>
      </c>
      <c r="E30" s="13" t="n">
        <v>4440</v>
      </c>
      <c r="F30" s="297" t="n">
        <v>0.09687999999999999</v>
      </c>
      <c r="G30" s="298">
        <f>E30*0.09688</f>
        <v/>
      </c>
    </row>
    <row r="31" spans="1:10">
      <c r="B31" s="6" t="s">
        <v>114</v>
      </c>
      <c r="C31" s="12" t="n">
        <v>38838</v>
      </c>
      <c r="D31" s="13" t="n">
        <v>47725</v>
      </c>
      <c r="E31" s="13" t="n">
        <v>4808</v>
      </c>
      <c r="F31" s="297" t="n">
        <v>0.10269</v>
      </c>
      <c r="G31" s="298">
        <f>E31*0.10269</f>
        <v/>
      </c>
    </row>
    <row r="32" spans="1:10">
      <c r="B32" s="6" t="s">
        <v>116</v>
      </c>
      <c r="C32" s="12" t="n">
        <v>38869</v>
      </c>
      <c r="D32" s="13" t="n">
        <v>51150</v>
      </c>
      <c r="E32" s="13" t="n">
        <v>3425</v>
      </c>
      <c r="F32" s="297" t="n">
        <v>0.12096</v>
      </c>
      <c r="G32" s="298">
        <f>E32*0.12096</f>
        <v/>
      </c>
    </row>
    <row r="33" spans="1:10">
      <c r="B33" s="6" t="s">
        <v>117</v>
      </c>
      <c r="C33" s="12" t="n">
        <v>38896</v>
      </c>
      <c r="D33" s="13" t="n">
        <v>52405</v>
      </c>
      <c r="E33" s="13" t="n">
        <v>1255</v>
      </c>
      <c r="F33" s="297" t="n">
        <v>0.11636932</v>
      </c>
      <c r="G33" s="298">
        <f>E33*0.11636932</f>
        <v/>
      </c>
    </row>
    <row r="34" spans="1:10">
      <c r="B34" s="6" t="s">
        <v>118</v>
      </c>
      <c r="C34" s="12" t="n">
        <v>38925</v>
      </c>
      <c r="D34" s="13" t="n">
        <v>55077</v>
      </c>
      <c r="E34" s="13" t="n">
        <v>2672</v>
      </c>
      <c r="F34" s="297" t="n">
        <v>0.11636932</v>
      </c>
      <c r="G34" s="298">
        <f>E34*0.11636932</f>
        <v/>
      </c>
    </row>
    <row r="35" spans="1:10">
      <c r="B35" s="6" t="s">
        <v>119</v>
      </c>
      <c r="C35" s="12" t="n">
        <v>38965</v>
      </c>
      <c r="D35" s="13" t="n">
        <v>58825</v>
      </c>
      <c r="E35" s="13" t="n">
        <v>3748</v>
      </c>
      <c r="F35" s="297" t="n">
        <v>0.11484</v>
      </c>
      <c r="G35" s="298">
        <f>E35*0.11484</f>
        <v/>
      </c>
    </row>
    <row r="36" spans="1:10">
      <c r="B36" s="6" t="s">
        <v>120</v>
      </c>
      <c r="C36" s="12" t="n">
        <v>38993</v>
      </c>
      <c r="D36" s="13" t="n">
        <v>63996</v>
      </c>
      <c r="E36" s="13" t="n">
        <v>5171</v>
      </c>
      <c r="F36" s="297" t="n">
        <v>0.1272</v>
      </c>
      <c r="G36" s="298">
        <f>E36*F36</f>
        <v/>
      </c>
    </row>
    <row r="37" spans="1:10">
      <c r="B37" s="6" t="s">
        <v>121</v>
      </c>
      <c r="C37" s="12" t="n">
        <v>39035</v>
      </c>
      <c r="D37" s="13" t="n">
        <v>71634</v>
      </c>
      <c r="E37" s="13" t="n">
        <v>7638</v>
      </c>
      <c r="F37" s="297" t="n">
        <v>0.1144</v>
      </c>
      <c r="G37" s="298">
        <f>E37*F37</f>
        <v/>
      </c>
    </row>
    <row r="38" spans="1:10">
      <c r="B38" s="6" t="s">
        <v>122</v>
      </c>
      <c r="C38" s="12" t="n">
        <v>39056</v>
      </c>
      <c r="D38" s="13" t="n">
        <v>75322</v>
      </c>
      <c r="E38" s="13" t="n">
        <v>3688</v>
      </c>
      <c r="F38" s="297" t="n">
        <v>0.0893</v>
      </c>
      <c r="G38" s="298">
        <f>E38*F38</f>
        <v/>
      </c>
    </row>
    <row r="39" spans="1:10">
      <c r="B39" s="6" t="s">
        <v>123</v>
      </c>
      <c r="C39" s="12" t="n">
        <v>38725</v>
      </c>
      <c r="D39" s="13" t="n">
        <v>78352</v>
      </c>
      <c r="E39" s="13" t="n">
        <v>3030</v>
      </c>
      <c r="F39" s="297" t="n">
        <v>0.09071382200188857</v>
      </c>
      <c r="G39" s="298">
        <f>E39*F39</f>
        <v/>
      </c>
    </row>
    <row r="40" spans="1:10">
      <c r="A40" s="237" t="s">
        <v>73</v>
      </c>
      <c r="B40" s="6" t="s">
        <v>109</v>
      </c>
      <c r="C40" s="12" t="n">
        <v>38747</v>
      </c>
      <c r="D40" s="13" t="n">
        <v>8065</v>
      </c>
      <c r="E40" s="13" t="n">
        <v>882</v>
      </c>
      <c r="F40" s="297">
        <f>F28</f>
        <v/>
      </c>
      <c r="G40" s="298">
        <f>E40*F40</f>
        <v/>
      </c>
    </row>
    <row r="41" spans="1:10">
      <c r="B41" s="6" t="s">
        <v>110</v>
      </c>
      <c r="C41" s="12" t="n">
        <v>38782</v>
      </c>
      <c r="D41" s="13" t="n">
        <v>9664</v>
      </c>
      <c r="E41" s="13" t="n">
        <v>1595</v>
      </c>
      <c r="F41" s="297">
        <f>F29</f>
        <v/>
      </c>
      <c r="G41" s="298">
        <f>E41*F41</f>
        <v/>
      </c>
    </row>
    <row r="42" spans="1:10">
      <c r="B42" s="6" t="s">
        <v>112</v>
      </c>
      <c r="C42" s="12" t="n">
        <v>38811</v>
      </c>
      <c r="D42" s="13" t="n">
        <v>10629</v>
      </c>
      <c r="E42" s="13" t="n">
        <v>965</v>
      </c>
      <c r="F42" s="297" t="n">
        <v>0.09687999999999999</v>
      </c>
      <c r="G42" s="298">
        <f>E42*0.09688</f>
        <v/>
      </c>
    </row>
    <row r="43" spans="1:10">
      <c r="B43" s="6" t="s">
        <v>114</v>
      </c>
      <c r="C43" s="12" t="n">
        <v>38838</v>
      </c>
      <c r="D43" s="13" t="n">
        <v>11744</v>
      </c>
      <c r="E43" s="13" t="n">
        <v>1115</v>
      </c>
      <c r="F43" s="297" t="n">
        <v>0.10269</v>
      </c>
      <c r="G43" s="298">
        <f>E43*0.10269</f>
        <v/>
      </c>
    </row>
    <row r="44" spans="1:10">
      <c r="B44" s="6" t="s">
        <v>116</v>
      </c>
      <c r="C44" s="12" t="n">
        <v>38869</v>
      </c>
      <c r="D44" s="13" t="n">
        <v>12593</v>
      </c>
      <c r="E44" s="13" t="n">
        <v>849</v>
      </c>
      <c r="F44" s="297" t="n">
        <v>0.12096</v>
      </c>
      <c r="G44" s="298">
        <f>E44*0.12096</f>
        <v/>
      </c>
    </row>
    <row r="45" spans="1:10">
      <c r="B45" s="6" t="s">
        <v>117</v>
      </c>
      <c r="C45" s="12" t="n">
        <v>38896</v>
      </c>
      <c r="D45" s="13" t="n">
        <v>12883</v>
      </c>
      <c r="E45" s="13" t="n">
        <v>290</v>
      </c>
      <c r="F45" s="297" t="n">
        <v>0.11636932</v>
      </c>
      <c r="G45" s="298">
        <f>E45*0.11636932</f>
        <v/>
      </c>
    </row>
    <row r="46" spans="1:10">
      <c r="B46" s="6" t="s">
        <v>118</v>
      </c>
      <c r="C46" s="12" t="n">
        <v>38925</v>
      </c>
      <c r="D46" s="13" t="n">
        <v>13948</v>
      </c>
      <c r="E46" s="13" t="n">
        <v>1065</v>
      </c>
      <c r="F46" s="297" t="n">
        <v>0.11636932</v>
      </c>
      <c r="G46" s="298">
        <f>E46*0.11636932</f>
        <v/>
      </c>
    </row>
    <row r="47" spans="1:10">
      <c r="B47" s="6" t="s">
        <v>119</v>
      </c>
      <c r="C47" s="12" t="n">
        <v>38965</v>
      </c>
      <c r="D47" s="13" t="n">
        <v>14825</v>
      </c>
      <c r="E47" s="13" t="n">
        <v>877</v>
      </c>
      <c r="F47" s="297" t="n">
        <v>0.11484</v>
      </c>
      <c r="G47" s="298">
        <f>E47*0.11484</f>
        <v/>
      </c>
    </row>
    <row r="48" spans="1:10">
      <c r="B48" s="6" t="s">
        <v>120</v>
      </c>
      <c r="C48" s="12" t="n">
        <v>38993</v>
      </c>
      <c r="D48" s="13" t="n">
        <v>15742</v>
      </c>
      <c r="E48" s="13" t="n">
        <v>917</v>
      </c>
      <c r="F48" s="297" t="n">
        <v>0.1272</v>
      </c>
      <c r="G48" s="298">
        <f>E48*F48</f>
        <v/>
      </c>
    </row>
    <row r="49" spans="1:10">
      <c r="B49" s="6" t="s">
        <v>121</v>
      </c>
      <c r="C49" s="12" t="n">
        <v>39035</v>
      </c>
      <c r="D49" s="13" t="n">
        <v>16958</v>
      </c>
      <c r="E49" s="13" t="n">
        <v>1216</v>
      </c>
      <c r="F49" s="297" t="n">
        <v>0.1144</v>
      </c>
      <c r="G49" s="298">
        <f>E49*F49</f>
        <v/>
      </c>
    </row>
    <row r="50" spans="1:10">
      <c r="B50" s="6" t="s">
        <v>122</v>
      </c>
      <c r="C50" s="12" t="n">
        <v>39056</v>
      </c>
      <c r="D50" s="13" t="n">
        <v>17499</v>
      </c>
      <c r="E50" s="13" t="n">
        <v>541</v>
      </c>
      <c r="F50" s="297" t="n">
        <v>0.0893</v>
      </c>
      <c r="G50" s="298">
        <f>E50*F50</f>
        <v/>
      </c>
    </row>
    <row r="51" spans="1:10">
      <c r="B51" s="6" t="s">
        <v>123</v>
      </c>
      <c r="C51" s="12" t="n">
        <v>38725</v>
      </c>
      <c r="D51" s="13" t="n">
        <v>18067</v>
      </c>
      <c r="E51" s="13" t="n">
        <v>568</v>
      </c>
      <c r="F51" s="297" t="n">
        <v>0.09071382200188857</v>
      </c>
      <c r="G51" s="298">
        <f>E51*F51</f>
        <v/>
      </c>
    </row>
    <row r="52" spans="1:10">
      <c r="A52" s="237" t="s">
        <v>74</v>
      </c>
      <c r="B52" s="6" t="s">
        <v>109</v>
      </c>
      <c r="C52" s="12" t="n">
        <v>38747</v>
      </c>
      <c r="D52" s="13" t="n">
        <v>100061</v>
      </c>
      <c r="E52" s="13" t="n">
        <v>11138</v>
      </c>
      <c r="F52" s="297">
        <f>F40</f>
        <v/>
      </c>
      <c r="G52" s="298">
        <f>E52*F52</f>
        <v/>
      </c>
    </row>
    <row r="53" spans="1:10">
      <c r="B53" s="6" t="s">
        <v>110</v>
      </c>
      <c r="C53" s="12" t="n">
        <v>38782</v>
      </c>
      <c r="D53" s="13" t="n">
        <v>120798</v>
      </c>
      <c r="E53" s="13" t="n">
        <v>20737</v>
      </c>
      <c r="F53" s="297">
        <f>F41</f>
        <v/>
      </c>
      <c r="G53" s="298">
        <f>E53*F53</f>
        <v/>
      </c>
    </row>
    <row r="54" spans="1:10">
      <c r="B54" s="6" t="s">
        <v>112</v>
      </c>
      <c r="C54" s="12" t="n">
        <v>38811</v>
      </c>
      <c r="D54" s="13" t="n">
        <v>135233</v>
      </c>
      <c r="E54" s="13" t="n">
        <v>14435</v>
      </c>
      <c r="F54" s="297" t="n">
        <v>0.09687999999999999</v>
      </c>
      <c r="G54" s="298">
        <f>E54*0.09688</f>
        <v/>
      </c>
    </row>
    <row r="55" spans="1:10">
      <c r="B55" s="6" t="s">
        <v>114</v>
      </c>
      <c r="C55" s="12" t="n">
        <v>38838</v>
      </c>
      <c r="D55" s="13" t="n">
        <v>151692</v>
      </c>
      <c r="E55" s="13" t="n">
        <v>16459</v>
      </c>
      <c r="F55" s="297" t="n">
        <v>0.10269</v>
      </c>
      <c r="G55" s="298">
        <f>E55*0.10269</f>
        <v/>
      </c>
    </row>
    <row r="56" spans="1:10">
      <c r="B56" s="6" t="s">
        <v>116</v>
      </c>
      <c r="C56" s="12" t="n">
        <v>38869</v>
      </c>
      <c r="D56" s="13" t="n">
        <v>163453</v>
      </c>
      <c r="E56" s="13" t="n">
        <v>11761</v>
      </c>
      <c r="F56" s="297" t="n">
        <v>0.12096</v>
      </c>
      <c r="G56" s="298">
        <f>E56*0.12096</f>
        <v/>
      </c>
    </row>
    <row r="57" spans="1:10">
      <c r="B57" s="6" t="s">
        <v>117</v>
      </c>
      <c r="C57" s="12" t="n">
        <v>38896</v>
      </c>
      <c r="D57" s="13" t="n">
        <v>167840</v>
      </c>
      <c r="E57" s="13" t="n">
        <v>4387</v>
      </c>
      <c r="F57" s="297" t="n">
        <v>0.11636932</v>
      </c>
      <c r="G57" s="298">
        <f>E57*0.11636932</f>
        <v/>
      </c>
    </row>
    <row r="58" spans="1:10">
      <c r="B58" s="6" t="s">
        <v>118</v>
      </c>
      <c r="C58" s="12" t="n">
        <v>38925</v>
      </c>
      <c r="D58" s="13" t="n">
        <v>173011</v>
      </c>
      <c r="E58" s="13" t="n">
        <v>5171</v>
      </c>
      <c r="F58" s="297" t="n">
        <v>0.11636932</v>
      </c>
      <c r="G58" s="298">
        <f>E58*0.11636932</f>
        <v/>
      </c>
    </row>
    <row r="59" spans="1:10">
      <c r="B59" s="6" t="s">
        <v>119</v>
      </c>
      <c r="C59" s="12" t="n">
        <v>38965</v>
      </c>
      <c r="D59" s="13" t="n">
        <v>184278</v>
      </c>
      <c r="E59" s="13" t="n">
        <v>11267</v>
      </c>
      <c r="F59" s="297" t="n">
        <v>0.11484</v>
      </c>
      <c r="G59" s="298">
        <f>E59*0.11484</f>
        <v/>
      </c>
    </row>
    <row r="60" spans="1:10">
      <c r="B60" s="6" t="s">
        <v>120</v>
      </c>
      <c r="C60" s="12" t="n">
        <v>38993</v>
      </c>
      <c r="D60" s="13" t="n">
        <v>199611</v>
      </c>
      <c r="E60" s="13" t="n">
        <v>15333</v>
      </c>
      <c r="F60" s="297" t="n">
        <v>0.1272</v>
      </c>
      <c r="G60" s="298">
        <f>E60*F60</f>
        <v/>
      </c>
    </row>
    <row r="61" spans="1:10">
      <c r="B61" s="6" t="s">
        <v>121</v>
      </c>
      <c r="C61" s="12" t="n">
        <v>39035</v>
      </c>
      <c r="D61" s="13" t="n">
        <v>223553</v>
      </c>
      <c r="E61" s="13" t="n">
        <v>23942</v>
      </c>
      <c r="F61" s="297" t="n">
        <v>0.1144</v>
      </c>
      <c r="G61" s="298">
        <f>E61*F61</f>
        <v/>
      </c>
    </row>
    <row r="62" spans="1:10">
      <c r="B62" s="6" t="s">
        <v>122</v>
      </c>
      <c r="C62" s="12" t="n">
        <v>39056</v>
      </c>
      <c r="D62" s="13" t="n">
        <v>234931</v>
      </c>
      <c r="E62" s="13" t="n">
        <v>11378</v>
      </c>
      <c r="F62" s="297" t="n">
        <v>0.0893</v>
      </c>
      <c r="G62" s="298">
        <f>E62*F62</f>
        <v/>
      </c>
    </row>
    <row r="63" spans="1:10">
      <c r="B63" s="6" t="s">
        <v>123</v>
      </c>
      <c r="C63" s="12" t="n">
        <v>38725</v>
      </c>
      <c r="D63" s="13" t="n">
        <v>244644</v>
      </c>
      <c r="E63" s="13" t="n">
        <v>9713</v>
      </c>
      <c r="F63" s="297" t="n">
        <v>0.09071382200188857</v>
      </c>
      <c r="G63" s="298">
        <f>E63*F63</f>
        <v/>
      </c>
    </row>
    <row r="64" spans="1:10">
      <c r="A64" s="237" t="s">
        <v>75</v>
      </c>
      <c r="B64" s="6" t="s">
        <v>109</v>
      </c>
      <c r="C64" s="12" t="n">
        <v>38747</v>
      </c>
      <c r="D64" s="13" t="n">
        <v>9628</v>
      </c>
      <c r="E64" s="13" t="n">
        <v>1220</v>
      </c>
      <c r="F64" s="297">
        <f>F52</f>
        <v/>
      </c>
      <c r="G64" s="298">
        <f>E64*F64</f>
        <v/>
      </c>
    </row>
    <row r="65" spans="1:10">
      <c r="B65" s="6" t="s">
        <v>110</v>
      </c>
      <c r="C65" s="12" t="n">
        <v>38782</v>
      </c>
      <c r="D65" s="13" t="n">
        <v>11206</v>
      </c>
      <c r="E65" s="13" t="n">
        <v>1576</v>
      </c>
      <c r="F65" s="297">
        <f>F53</f>
        <v/>
      </c>
      <c r="G65" s="298">
        <f>E65*F65</f>
        <v/>
      </c>
    </row>
    <row r="66" spans="1:10">
      <c r="B66" s="6" t="s">
        <v>112</v>
      </c>
      <c r="C66" s="12" t="n">
        <v>38811</v>
      </c>
      <c r="D66" s="13" t="n">
        <v>12068</v>
      </c>
      <c r="E66" s="13" t="n">
        <v>862</v>
      </c>
      <c r="F66" s="297" t="n">
        <v>0.09687999999999999</v>
      </c>
      <c r="G66" s="298">
        <f>E66*0.09688</f>
        <v/>
      </c>
    </row>
    <row r="67" spans="1:10">
      <c r="B67" s="6" t="s">
        <v>114</v>
      </c>
      <c r="C67" s="12" t="n">
        <v>38838</v>
      </c>
      <c r="D67" s="13" t="n">
        <v>13016</v>
      </c>
      <c r="E67" s="13" t="n">
        <v>948</v>
      </c>
      <c r="F67" s="297" t="n">
        <v>0.10269</v>
      </c>
      <c r="G67" s="298">
        <f>E67*0.10269</f>
        <v/>
      </c>
    </row>
    <row r="68" spans="1:10">
      <c r="B68" s="6" t="s">
        <v>116</v>
      </c>
      <c r="C68" s="12" t="n">
        <v>38869</v>
      </c>
      <c r="D68" s="13" t="n">
        <v>13993</v>
      </c>
      <c r="E68" s="13" t="n">
        <v>977</v>
      </c>
      <c r="F68" s="297" t="n">
        <v>0.12096</v>
      </c>
      <c r="G68" s="298">
        <f>E68*0.12096</f>
        <v/>
      </c>
    </row>
    <row r="69" spans="1:10">
      <c r="B69" s="6" t="s">
        <v>117</v>
      </c>
      <c r="C69" s="12" t="n">
        <v>38896</v>
      </c>
      <c r="D69" s="13" t="n">
        <v>14987</v>
      </c>
      <c r="E69" s="13" t="n">
        <v>994</v>
      </c>
      <c r="F69" s="297" t="n">
        <v>0.11636932</v>
      </c>
      <c r="G69" s="298">
        <f>E69*0.11636932</f>
        <v/>
      </c>
    </row>
    <row r="70" spans="1:10">
      <c r="B70" s="6" t="s">
        <v>118</v>
      </c>
      <c r="C70" s="12" t="n">
        <v>38925</v>
      </c>
      <c r="D70" s="13" t="n">
        <v>16161</v>
      </c>
      <c r="E70" s="13" t="n">
        <v>1174</v>
      </c>
      <c r="F70" s="297" t="n">
        <v>0.11636932</v>
      </c>
      <c r="G70" s="298">
        <f>E70*0.11636932</f>
        <v/>
      </c>
    </row>
    <row r="71" spans="1:10">
      <c r="B71" s="6" t="s">
        <v>119</v>
      </c>
      <c r="C71" s="12" t="n">
        <v>38965</v>
      </c>
      <c r="D71" s="13" t="n">
        <v>17414</v>
      </c>
      <c r="E71" s="13" t="n">
        <v>1253</v>
      </c>
      <c r="F71" s="297" t="n">
        <v>0.11484</v>
      </c>
      <c r="G71" s="298">
        <f>E71*0.11484</f>
        <v/>
      </c>
    </row>
    <row r="72" spans="1:10">
      <c r="B72" s="6" t="s">
        <v>120</v>
      </c>
      <c r="C72" s="12" t="n">
        <v>38993</v>
      </c>
      <c r="D72" s="13" t="n">
        <v>18641</v>
      </c>
      <c r="E72" s="13" t="n">
        <v>1227</v>
      </c>
      <c r="F72" s="297" t="n">
        <v>0.1272</v>
      </c>
      <c r="G72" s="298">
        <f>E72*F72</f>
        <v/>
      </c>
    </row>
    <row r="73" spans="1:10">
      <c r="B73" s="6" t="s">
        <v>121</v>
      </c>
      <c r="C73" s="12" t="n">
        <v>39035</v>
      </c>
      <c r="D73" s="13" t="n">
        <v>20104</v>
      </c>
      <c r="E73" s="13" t="n">
        <v>1463</v>
      </c>
      <c r="F73" s="297" t="n">
        <v>0.1144</v>
      </c>
      <c r="G73" s="298">
        <f>E73*F73</f>
        <v/>
      </c>
    </row>
    <row r="74" spans="1:10">
      <c r="B74" s="6" t="s">
        <v>122</v>
      </c>
      <c r="C74" s="12" t="n">
        <v>39056</v>
      </c>
      <c r="D74" s="13" t="n">
        <v>20780</v>
      </c>
      <c r="E74" s="13" t="n">
        <v>676</v>
      </c>
      <c r="F74" s="297" t="n">
        <v>0.0893</v>
      </c>
      <c r="G74" s="298">
        <f>E74*F74</f>
        <v/>
      </c>
    </row>
    <row r="75" spans="1:10">
      <c r="B75" s="6" t="s">
        <v>123</v>
      </c>
      <c r="C75" s="12" t="n">
        <v>38725</v>
      </c>
      <c r="D75" s="13" t="n">
        <v>21902</v>
      </c>
      <c r="E75" s="13" t="n">
        <v>1122</v>
      </c>
      <c r="F75" s="297" t="n">
        <v>0.09071382200188857</v>
      </c>
      <c r="G75" s="298">
        <f>E75*F75</f>
        <v/>
      </c>
    </row>
    <row r="76" spans="1:10">
      <c r="A76" s="237" t="s">
        <v>76</v>
      </c>
      <c r="B76" s="6" t="s">
        <v>109</v>
      </c>
      <c r="C76" s="12" t="n">
        <v>38747</v>
      </c>
      <c r="D76" s="13" t="n">
        <v>15610</v>
      </c>
      <c r="E76" s="13" t="n">
        <v>1762</v>
      </c>
      <c r="F76" s="297">
        <f>F64</f>
        <v/>
      </c>
      <c r="G76" s="298">
        <f>E76*F76</f>
        <v/>
      </c>
    </row>
    <row r="77" spans="1:10">
      <c r="B77" s="6" t="s">
        <v>110</v>
      </c>
      <c r="C77" s="12" t="n">
        <v>38782</v>
      </c>
      <c r="D77" s="13" t="n">
        <v>18840</v>
      </c>
      <c r="E77" s="13" t="n">
        <v>3230</v>
      </c>
      <c r="F77" s="297">
        <f>F65</f>
        <v/>
      </c>
      <c r="G77" s="298">
        <f>E77*F77</f>
        <v/>
      </c>
    </row>
    <row r="78" spans="1:10">
      <c r="B78" s="6" t="s">
        <v>112</v>
      </c>
      <c r="C78" s="12" t="n">
        <v>38811</v>
      </c>
      <c r="D78" s="13" t="n">
        <v>21103</v>
      </c>
      <c r="E78" s="13" t="n">
        <v>2263</v>
      </c>
      <c r="F78" s="297" t="n">
        <v>0.09687999999999999</v>
      </c>
      <c r="G78" s="298">
        <f>E78*0.09688</f>
        <v/>
      </c>
    </row>
    <row r="79" spans="1:10">
      <c r="B79" s="6" t="s">
        <v>114</v>
      </c>
      <c r="C79" s="12" t="n">
        <v>38838</v>
      </c>
      <c r="D79" s="13" t="n">
        <v>23592</v>
      </c>
      <c r="E79" s="13" t="n">
        <v>2489</v>
      </c>
      <c r="F79" s="297" t="n">
        <v>0.10269</v>
      </c>
      <c r="G79" s="298">
        <f>E79*0.10269</f>
        <v/>
      </c>
    </row>
    <row r="80" spans="1:10">
      <c r="B80" s="6" t="s">
        <v>116</v>
      </c>
      <c r="C80" s="12" t="n">
        <v>38869</v>
      </c>
      <c r="D80" s="13" t="n">
        <v>25437</v>
      </c>
      <c r="E80" s="13" t="n">
        <v>1845</v>
      </c>
      <c r="F80" s="297" t="n">
        <v>0.12096</v>
      </c>
      <c r="G80" s="298">
        <f>E80*0.12096</f>
        <v/>
      </c>
    </row>
    <row r="81" spans="1:10">
      <c r="B81" s="6" t="s">
        <v>117</v>
      </c>
      <c r="C81" s="12" t="n">
        <v>38896</v>
      </c>
      <c r="D81" s="13" t="n">
        <v>26075</v>
      </c>
      <c r="E81" s="13" t="n">
        <v>638</v>
      </c>
      <c r="F81" s="297" t="n">
        <v>0.11636932</v>
      </c>
      <c r="G81" s="298">
        <f>E81*0.11636932</f>
        <v/>
      </c>
    </row>
    <row r="82" spans="1:10">
      <c r="B82" s="6" t="s">
        <v>118</v>
      </c>
      <c r="C82" s="12" t="n">
        <v>38925</v>
      </c>
      <c r="D82" s="13" t="n">
        <v>27443</v>
      </c>
      <c r="E82" s="13" t="n">
        <v>1368</v>
      </c>
      <c r="F82" s="297" t="n">
        <v>0.11636932</v>
      </c>
      <c r="G82" s="298">
        <f>E82*0.11636932</f>
        <v/>
      </c>
    </row>
    <row r="83" spans="1:10">
      <c r="B83" s="6" t="s">
        <v>119</v>
      </c>
      <c r="C83" s="12" t="n">
        <v>38965</v>
      </c>
      <c r="D83" s="13" t="n">
        <v>29313</v>
      </c>
      <c r="E83" s="13" t="n">
        <v>1870</v>
      </c>
      <c r="F83" s="297" t="n">
        <v>0.11484</v>
      </c>
      <c r="G83" s="298">
        <f>E83*0.11484</f>
        <v/>
      </c>
    </row>
    <row r="84" spans="1:10">
      <c r="B84" s="6" t="s">
        <v>120</v>
      </c>
      <c r="C84" s="12" t="n">
        <v>38993</v>
      </c>
      <c r="D84" s="13" t="n">
        <v>31784</v>
      </c>
      <c r="E84" s="13" t="n">
        <v>2471</v>
      </c>
      <c r="F84" s="297" t="n">
        <v>0.1272</v>
      </c>
      <c r="G84" s="298">
        <f>E84*F84</f>
        <v/>
      </c>
    </row>
    <row r="85" spans="1:10">
      <c r="B85" s="6" t="s">
        <v>121</v>
      </c>
      <c r="C85" s="12" t="n">
        <v>39035</v>
      </c>
      <c r="D85" s="13" t="n">
        <v>35317</v>
      </c>
      <c r="E85" s="13" t="n">
        <v>3533</v>
      </c>
      <c r="F85" s="297" t="n">
        <v>0.1144</v>
      </c>
      <c r="G85" s="298">
        <f>E85*F85</f>
        <v/>
      </c>
    </row>
    <row r="86" spans="1:10">
      <c r="B86" s="6" t="s">
        <v>122</v>
      </c>
      <c r="C86" s="12" t="n">
        <v>39056</v>
      </c>
      <c r="D86" s="13" t="n">
        <v>37042</v>
      </c>
      <c r="E86" s="13" t="n">
        <v>1725</v>
      </c>
      <c r="F86" s="297" t="n">
        <v>0.0893</v>
      </c>
      <c r="G86" s="298">
        <f>E86*F86</f>
        <v/>
      </c>
    </row>
    <row r="87" spans="1:10">
      <c r="B87" s="6" t="s">
        <v>123</v>
      </c>
      <c r="C87" s="12" t="n">
        <v>38725</v>
      </c>
      <c r="D87" s="13" t="n">
        <v>38380</v>
      </c>
      <c r="E87" s="13" t="n">
        <v>1338</v>
      </c>
      <c r="F87" s="297" t="n">
        <v>0.09071382200188857</v>
      </c>
      <c r="G87" s="298">
        <f>E87*F87</f>
        <v/>
      </c>
    </row>
    <row r="88" spans="1:10">
      <c r="A88" s="237" t="s">
        <v>77</v>
      </c>
      <c r="B88" s="6" t="s">
        <v>109</v>
      </c>
      <c r="C88" s="12" t="n">
        <v>38747</v>
      </c>
      <c r="D88" s="13" t="n">
        <v>14754</v>
      </c>
      <c r="E88" s="13" t="n">
        <v>1951</v>
      </c>
      <c r="F88" s="297">
        <f>F76</f>
        <v/>
      </c>
      <c r="G88" s="298">
        <f>E88*F88</f>
        <v/>
      </c>
    </row>
    <row r="89" spans="1:10">
      <c r="B89" s="6" t="s">
        <v>110</v>
      </c>
      <c r="C89" s="12" t="n">
        <v>38782</v>
      </c>
      <c r="D89" s="13" t="n">
        <v>18436</v>
      </c>
      <c r="E89" s="13" t="n">
        <v>3682</v>
      </c>
      <c r="F89" s="297">
        <f>F77</f>
        <v/>
      </c>
      <c r="G89" s="298">
        <f>E89*F89</f>
        <v/>
      </c>
    </row>
    <row r="90" spans="1:10">
      <c r="B90" s="6" t="s">
        <v>112</v>
      </c>
      <c r="C90" s="12" t="n">
        <v>38811</v>
      </c>
      <c r="D90" s="13" t="n">
        <v>21034</v>
      </c>
      <c r="E90" s="13" t="n">
        <v>2598</v>
      </c>
      <c r="F90" s="297" t="n">
        <v>0.09687999999999999</v>
      </c>
      <c r="G90" s="298">
        <f>E90*0.09688</f>
        <v/>
      </c>
    </row>
    <row r="91" spans="1:10">
      <c r="B91" s="6" t="s">
        <v>114</v>
      </c>
      <c r="C91" s="12" t="n">
        <v>38838</v>
      </c>
      <c r="D91" s="13" t="n">
        <v>23689</v>
      </c>
      <c r="E91" s="13" t="n">
        <v>2655</v>
      </c>
      <c r="F91" s="297" t="n">
        <v>0.10269</v>
      </c>
      <c r="G91" s="298">
        <f>E91*0.10269</f>
        <v/>
      </c>
    </row>
    <row r="92" spans="1:10">
      <c r="B92" s="6" t="s">
        <v>116</v>
      </c>
      <c r="C92" s="12" t="n">
        <v>38869</v>
      </c>
      <c r="D92" s="13" t="n">
        <v>25567</v>
      </c>
      <c r="E92" s="13" t="n">
        <v>1878</v>
      </c>
      <c r="F92" s="297" t="n">
        <v>0.12096</v>
      </c>
      <c r="G92" s="298">
        <f>E92*0.12096</f>
        <v/>
      </c>
    </row>
    <row r="93" spans="1:10">
      <c r="B93" s="6" t="s">
        <v>117</v>
      </c>
      <c r="C93" s="12" t="n">
        <v>38896</v>
      </c>
      <c r="D93" s="13" t="n">
        <v>26114</v>
      </c>
      <c r="E93" s="13" t="n">
        <v>547</v>
      </c>
      <c r="F93" s="297" t="n">
        <v>0.11636932</v>
      </c>
      <c r="G93" s="298">
        <f>E93*0.11636932</f>
        <v/>
      </c>
    </row>
    <row r="94" spans="1:10">
      <c r="B94" s="6" t="s">
        <v>118</v>
      </c>
      <c r="C94" s="12" t="n">
        <v>38925</v>
      </c>
      <c r="D94" s="13" t="n">
        <v>27068</v>
      </c>
      <c r="E94" s="13" t="n">
        <v>954</v>
      </c>
      <c r="F94" s="297" t="n">
        <v>0.11636932</v>
      </c>
      <c r="G94" s="298">
        <f>E94*0.11636932</f>
        <v/>
      </c>
    </row>
    <row r="95" spans="1:10">
      <c r="B95" s="6" t="s">
        <v>119</v>
      </c>
      <c r="C95" s="12" t="n">
        <v>38965</v>
      </c>
      <c r="D95" s="13" t="n">
        <v>28320</v>
      </c>
      <c r="E95" s="13" t="n">
        <v>1252</v>
      </c>
      <c r="F95" s="297" t="n">
        <v>0.11484</v>
      </c>
      <c r="G95" s="298">
        <f>E95*0.11484</f>
        <v/>
      </c>
    </row>
    <row r="96" spans="1:10">
      <c r="B96" s="6" t="s">
        <v>120</v>
      </c>
      <c r="C96" s="12" t="n">
        <v>38993</v>
      </c>
      <c r="D96" s="13" t="n">
        <v>30054</v>
      </c>
      <c r="E96" s="13" t="n">
        <v>1734</v>
      </c>
      <c r="F96" s="297" t="n">
        <v>0.1272</v>
      </c>
      <c r="G96" s="298">
        <f>E96*F96</f>
        <v/>
      </c>
    </row>
    <row r="97" spans="1:10">
      <c r="B97" s="6" t="s">
        <v>121</v>
      </c>
      <c r="C97" s="12" t="n">
        <v>39035</v>
      </c>
      <c r="D97" s="13" t="n">
        <v>32847</v>
      </c>
      <c r="E97" s="13" t="n">
        <v>2793</v>
      </c>
      <c r="F97" s="297" t="n">
        <v>0.1144</v>
      </c>
      <c r="G97" s="298">
        <f>E97*F97</f>
        <v/>
      </c>
    </row>
    <row r="98" spans="1:10">
      <c r="B98" s="6" t="s">
        <v>122</v>
      </c>
      <c r="C98" s="12" t="n">
        <v>39056</v>
      </c>
      <c r="D98" s="13" t="n">
        <v>34080</v>
      </c>
      <c r="E98" s="13" t="n">
        <v>1233</v>
      </c>
      <c r="F98" s="297" t="n">
        <v>0.0893</v>
      </c>
      <c r="G98" s="298">
        <f>E98*F98</f>
        <v/>
      </c>
    </row>
    <row r="99" spans="1:10">
      <c r="B99" s="6" t="s">
        <v>123</v>
      </c>
      <c r="C99" s="12" t="n">
        <v>38725</v>
      </c>
      <c r="D99" s="13" t="n">
        <v>35209</v>
      </c>
      <c r="E99" s="13" t="n">
        <v>1129</v>
      </c>
      <c r="F99" s="297" t="n">
        <v>0.09071382200188857</v>
      </c>
      <c r="G99" s="298">
        <f>E99*F99</f>
        <v/>
      </c>
    </row>
    <row r="100" spans="1:10">
      <c r="A100" s="237" t="s">
        <v>78</v>
      </c>
      <c r="B100" s="6" t="s">
        <v>109</v>
      </c>
      <c r="C100" s="12" t="n">
        <v>38747</v>
      </c>
      <c r="D100" s="13" t="n">
        <v>23118</v>
      </c>
      <c r="E100" s="13" t="n">
        <v>2342</v>
      </c>
      <c r="F100" s="297">
        <f>F88</f>
        <v/>
      </c>
      <c r="G100" s="298">
        <f>E100*F100</f>
        <v/>
      </c>
    </row>
    <row r="101" spans="1:10">
      <c r="B101" s="6" t="s">
        <v>110</v>
      </c>
      <c r="C101" s="12" t="n">
        <v>38782</v>
      </c>
      <c r="D101" s="13" t="n">
        <v>27826</v>
      </c>
      <c r="E101" s="13" t="n">
        <v>4706</v>
      </c>
      <c r="F101" s="297">
        <f>F89</f>
        <v/>
      </c>
      <c r="G101" s="298">
        <f>E101*F101</f>
        <v/>
      </c>
    </row>
    <row r="102" spans="1:10">
      <c r="B102" s="6" t="s">
        <v>112</v>
      </c>
      <c r="C102" s="12" t="n">
        <v>38811</v>
      </c>
      <c r="D102" s="13" t="n">
        <v>31063</v>
      </c>
      <c r="E102" s="13" t="n">
        <v>3237</v>
      </c>
      <c r="F102" s="297" t="n">
        <v>0.09687999999999999</v>
      </c>
      <c r="G102" s="298">
        <f>E102*0.09688</f>
        <v/>
      </c>
    </row>
    <row r="103" spans="1:10">
      <c r="B103" s="6" t="s">
        <v>114</v>
      </c>
      <c r="C103" s="12" t="n">
        <v>38838</v>
      </c>
      <c r="D103" s="13" t="n">
        <v>34593</v>
      </c>
      <c r="E103" s="13" t="n">
        <v>3530</v>
      </c>
      <c r="F103" s="297" t="n">
        <v>0.10269</v>
      </c>
      <c r="G103" s="298">
        <f>E103*0.10269</f>
        <v/>
      </c>
    </row>
    <row r="104" spans="1:10">
      <c r="B104" s="6" t="s">
        <v>116</v>
      </c>
      <c r="C104" s="12" t="n">
        <v>38869</v>
      </c>
      <c r="D104" s="13" t="n">
        <v>37128</v>
      </c>
      <c r="E104" s="13" t="n">
        <v>2535</v>
      </c>
      <c r="F104" s="297" t="n">
        <v>0.12096</v>
      </c>
      <c r="G104" s="298">
        <f>E104*0.12096</f>
        <v/>
      </c>
    </row>
    <row r="105" spans="1:10">
      <c r="B105" s="6" t="s">
        <v>117</v>
      </c>
      <c r="C105" s="12" t="n">
        <v>38896</v>
      </c>
      <c r="D105" s="13" t="n">
        <v>37996</v>
      </c>
      <c r="E105" s="13" t="n">
        <v>868</v>
      </c>
      <c r="F105" s="297" t="n">
        <v>0.11636932</v>
      </c>
      <c r="G105" s="298">
        <f>E105*0.11636932</f>
        <v/>
      </c>
    </row>
    <row r="106" spans="1:10">
      <c r="B106" s="6" t="s">
        <v>118</v>
      </c>
      <c r="C106" s="12" t="n">
        <v>38925</v>
      </c>
      <c r="D106" s="13" t="n">
        <v>39535</v>
      </c>
      <c r="E106" s="13" t="n">
        <v>1539</v>
      </c>
      <c r="F106" s="297" t="n">
        <v>0.11636932</v>
      </c>
      <c r="G106" s="298">
        <f>E106*0.11636932</f>
        <v/>
      </c>
    </row>
    <row r="107" spans="1:10">
      <c r="B107" s="6" t="s">
        <v>119</v>
      </c>
      <c r="C107" s="12" t="n">
        <v>38965</v>
      </c>
      <c r="D107" s="13" t="n">
        <v>41954</v>
      </c>
      <c r="E107" s="13" t="n">
        <v>2419</v>
      </c>
      <c r="F107" s="297" t="n">
        <v>0.11484</v>
      </c>
      <c r="G107" s="298">
        <f>E107*0.11484</f>
        <v/>
      </c>
    </row>
    <row r="108" spans="1:10">
      <c r="B108" s="6" t="s">
        <v>120</v>
      </c>
      <c r="C108" s="12" t="n">
        <v>38993</v>
      </c>
      <c r="D108" s="13" t="n">
        <v>44713</v>
      </c>
      <c r="E108" s="13" t="n">
        <v>2759</v>
      </c>
      <c r="F108" s="297" t="n">
        <v>0.1272</v>
      </c>
      <c r="G108" s="298">
        <f>E108*F108</f>
        <v/>
      </c>
    </row>
    <row r="109" spans="1:10">
      <c r="B109" s="6" t="s">
        <v>121</v>
      </c>
      <c r="C109" s="12" t="n">
        <v>39035</v>
      </c>
      <c r="D109" s="13" t="n">
        <v>48845</v>
      </c>
      <c r="E109" s="13" t="n">
        <v>4132</v>
      </c>
      <c r="F109" s="297" t="n">
        <v>0.1144</v>
      </c>
      <c r="G109" s="298">
        <f>E109*F109</f>
        <v/>
      </c>
    </row>
    <row r="110" spans="1:10">
      <c r="B110" s="6" t="s">
        <v>122</v>
      </c>
      <c r="C110" s="12" t="n">
        <v>39056</v>
      </c>
      <c r="D110" s="13" t="n">
        <v>50765</v>
      </c>
      <c r="E110" s="13" t="n">
        <v>1920</v>
      </c>
      <c r="F110" s="297" t="n">
        <v>0.0893</v>
      </c>
      <c r="G110" s="298">
        <f>E110*F110</f>
        <v/>
      </c>
    </row>
    <row r="111" spans="1:10">
      <c r="B111" s="6" t="s">
        <v>123</v>
      </c>
      <c r="C111" s="12" t="n">
        <v>38725</v>
      </c>
      <c r="D111" s="13" t="n">
        <v>52490</v>
      </c>
      <c r="E111" s="13" t="n">
        <v>1725</v>
      </c>
      <c r="F111" s="297" t="n">
        <v>0.09071382200188857</v>
      </c>
      <c r="G111" s="298">
        <f>E111*F111</f>
        <v/>
      </c>
    </row>
    <row r="112" spans="1:10">
      <c r="A112" s="237" t="s">
        <v>79</v>
      </c>
      <c r="B112" s="6" t="s">
        <v>109</v>
      </c>
      <c r="C112" s="12" t="n">
        <v>38747</v>
      </c>
      <c r="D112" s="13" t="n">
        <v>23547</v>
      </c>
      <c r="E112" s="13" t="n">
        <v>2437</v>
      </c>
      <c r="F112" s="297">
        <f>F100</f>
        <v/>
      </c>
      <c r="G112" s="298">
        <f>E112*F112</f>
        <v/>
      </c>
    </row>
    <row r="113" spans="1:10">
      <c r="B113" s="6" t="s">
        <v>110</v>
      </c>
      <c r="C113" s="12" t="n">
        <v>38782</v>
      </c>
      <c r="D113" s="13" t="n">
        <v>28027</v>
      </c>
      <c r="E113" s="13" t="n">
        <v>4480</v>
      </c>
      <c r="F113" s="297">
        <f>F101</f>
        <v/>
      </c>
      <c r="G113" s="298">
        <f>E113*F113</f>
        <v/>
      </c>
    </row>
    <row r="114" spans="1:10">
      <c r="B114" s="6" t="s">
        <v>112</v>
      </c>
      <c r="C114" s="12" t="n">
        <v>38811</v>
      </c>
      <c r="D114" s="13" t="n">
        <v>30998</v>
      </c>
      <c r="E114" s="13" t="n">
        <v>2971</v>
      </c>
      <c r="F114" s="297" t="n">
        <v>0.09687999999999999</v>
      </c>
      <c r="G114" s="298">
        <f>E114*0.09688</f>
        <v/>
      </c>
    </row>
    <row r="115" spans="1:10">
      <c r="B115" s="6" t="s">
        <v>114</v>
      </c>
      <c r="C115" s="12" t="n">
        <v>38838</v>
      </c>
      <c r="D115" s="13" t="n">
        <v>34514</v>
      </c>
      <c r="E115" s="13" t="n">
        <v>3516</v>
      </c>
      <c r="F115" s="297" t="n">
        <v>0.10269</v>
      </c>
      <c r="G115" s="298">
        <f>E115*0.10269</f>
        <v/>
      </c>
    </row>
    <row r="116" spans="1:10">
      <c r="B116" s="6" t="s">
        <v>116</v>
      </c>
      <c r="C116" s="12" t="n">
        <v>38869</v>
      </c>
      <c r="D116" s="13" t="n">
        <v>37305</v>
      </c>
      <c r="E116" s="13" t="n">
        <v>2791</v>
      </c>
      <c r="F116" s="297" t="n">
        <v>0.12096</v>
      </c>
      <c r="G116" s="298">
        <f>E116*0.12096</f>
        <v/>
      </c>
    </row>
    <row r="117" spans="1:10">
      <c r="B117" s="6" t="s">
        <v>117</v>
      </c>
      <c r="C117" s="12" t="n">
        <v>38896</v>
      </c>
      <c r="D117" s="13" t="n">
        <v>38173</v>
      </c>
      <c r="E117" s="13" t="n">
        <v>868</v>
      </c>
      <c r="F117" s="297" t="n">
        <v>0.11636932</v>
      </c>
      <c r="G117" s="298">
        <f>E117*0.11636932</f>
        <v/>
      </c>
    </row>
    <row r="118" spans="1:10">
      <c r="B118" s="6" t="s">
        <v>118</v>
      </c>
      <c r="C118" s="12" t="n">
        <v>38925</v>
      </c>
      <c r="D118" s="13" t="n">
        <v>40181</v>
      </c>
      <c r="E118" s="13" t="n">
        <v>2008</v>
      </c>
      <c r="F118" s="297" t="n">
        <v>0.11636932</v>
      </c>
      <c r="G118" s="298">
        <f>E118*0.11636932</f>
        <v/>
      </c>
    </row>
    <row r="119" spans="1:10">
      <c r="B119" s="6" t="s">
        <v>119</v>
      </c>
      <c r="C119" s="12" t="n">
        <v>38965</v>
      </c>
      <c r="D119" s="13" t="n">
        <v>42387</v>
      </c>
      <c r="E119" s="13" t="n">
        <v>2206</v>
      </c>
      <c r="F119" s="297" t="n">
        <v>0.11484</v>
      </c>
      <c r="G119" s="298">
        <f>E119*0.11484</f>
        <v/>
      </c>
    </row>
    <row r="120" spans="1:10">
      <c r="B120" s="6" t="s">
        <v>120</v>
      </c>
      <c r="C120" s="12" t="n">
        <v>38993</v>
      </c>
      <c r="D120" s="13" t="n">
        <v>43485</v>
      </c>
      <c r="E120" s="13" t="n">
        <v>1098</v>
      </c>
      <c r="F120" s="297" t="n">
        <v>0.1272</v>
      </c>
      <c r="G120" s="298">
        <f>E120*F120</f>
        <v/>
      </c>
    </row>
    <row r="121" spans="1:10">
      <c r="B121" s="6" t="s">
        <v>121</v>
      </c>
      <c r="C121" s="12" t="n">
        <v>39035</v>
      </c>
      <c r="D121" s="13" t="n">
        <v>44489</v>
      </c>
      <c r="E121" s="13" t="n">
        <v>1004</v>
      </c>
      <c r="F121" s="297" t="n">
        <v>0.1144</v>
      </c>
      <c r="G121" s="298">
        <f>E121*F121</f>
        <v/>
      </c>
    </row>
    <row r="122" spans="1:10">
      <c r="B122" s="6" t="s">
        <v>122</v>
      </c>
      <c r="C122" s="12" t="n">
        <v>39056</v>
      </c>
      <c r="D122" s="13" t="n">
        <v>44895</v>
      </c>
      <c r="E122" s="13" t="n">
        <v>406</v>
      </c>
      <c r="F122" s="297" t="n">
        <v>0.0893</v>
      </c>
      <c r="G122" s="298">
        <f>E122*F122</f>
        <v/>
      </c>
    </row>
    <row r="123" spans="1:10">
      <c r="B123" s="6" t="s">
        <v>123</v>
      </c>
      <c r="C123" s="12" t="n">
        <v>38725</v>
      </c>
      <c r="D123" s="13" t="n">
        <v>45532</v>
      </c>
      <c r="E123" s="13" t="n">
        <v>632</v>
      </c>
      <c r="F123" s="297" t="n">
        <v>0.09071382200188857</v>
      </c>
      <c r="G123" s="298">
        <f>E123*F123</f>
        <v/>
      </c>
    </row>
    <row r="124" spans="1:10">
      <c r="A124" s="237" t="s">
        <v>80</v>
      </c>
      <c r="B124" s="6" t="s">
        <v>109</v>
      </c>
      <c r="C124" s="12" t="n">
        <v>38747</v>
      </c>
      <c r="D124" s="13" t="n">
        <v>46264</v>
      </c>
      <c r="E124" s="13" t="n">
        <v>5067</v>
      </c>
      <c r="F124" s="297">
        <f>F112</f>
        <v/>
      </c>
      <c r="G124" s="298">
        <f>E124*F124</f>
        <v/>
      </c>
    </row>
    <row r="125" spans="1:10">
      <c r="B125" s="6" t="s">
        <v>110</v>
      </c>
      <c r="C125" s="12" t="n">
        <v>38782</v>
      </c>
      <c r="D125" s="13" t="n">
        <v>55732</v>
      </c>
      <c r="E125" s="13" t="n">
        <v>9468</v>
      </c>
      <c r="F125" s="297">
        <f>F113</f>
        <v/>
      </c>
      <c r="G125" s="298">
        <f>E125*F125</f>
        <v/>
      </c>
    </row>
    <row r="126" spans="1:10">
      <c r="B126" s="6" t="s">
        <v>112</v>
      </c>
      <c r="C126" s="12" t="n">
        <v>38811</v>
      </c>
      <c r="D126" s="13" t="n">
        <v>62119</v>
      </c>
      <c r="E126" s="13" t="n">
        <v>6387</v>
      </c>
      <c r="F126" s="297" t="n">
        <v>0.09687999999999999</v>
      </c>
      <c r="G126" s="298">
        <f>E126*0.09688</f>
        <v/>
      </c>
    </row>
    <row r="127" spans="1:10">
      <c r="B127" s="6" t="s">
        <v>114</v>
      </c>
      <c r="C127" s="12" t="n">
        <v>38838</v>
      </c>
      <c r="D127" s="13" t="n">
        <v>68913</v>
      </c>
      <c r="E127" s="13" t="n">
        <v>6794</v>
      </c>
      <c r="F127" s="297" t="n">
        <v>0.10269</v>
      </c>
      <c r="G127" s="298">
        <f>E127*0.10269</f>
        <v/>
      </c>
    </row>
    <row r="128" spans="1:10">
      <c r="B128" s="6" t="s">
        <v>116</v>
      </c>
      <c r="C128" s="12" t="n">
        <v>38869</v>
      </c>
      <c r="D128" s="13" t="n">
        <v>73696</v>
      </c>
      <c r="E128" s="13" t="n">
        <v>4783</v>
      </c>
      <c r="F128" s="297" t="n">
        <v>0.12096</v>
      </c>
      <c r="G128" s="298">
        <f>E128*0.12096</f>
        <v/>
      </c>
    </row>
    <row r="129" spans="1:10">
      <c r="B129" s="6" t="s">
        <v>117</v>
      </c>
      <c r="C129" s="12" t="n">
        <v>38896</v>
      </c>
      <c r="D129" s="13" t="n">
        <v>75679</v>
      </c>
      <c r="E129" s="13" t="n">
        <v>1983</v>
      </c>
      <c r="F129" s="297" t="n">
        <v>0.11636932</v>
      </c>
      <c r="G129" s="298">
        <f>E129*0.11636932</f>
        <v/>
      </c>
    </row>
    <row r="130" spans="1:10">
      <c r="B130" s="6" t="s">
        <v>118</v>
      </c>
      <c r="C130" s="12" t="n">
        <v>38925</v>
      </c>
      <c r="D130" s="13" t="n">
        <v>79130</v>
      </c>
      <c r="E130" s="13" t="n">
        <v>3451</v>
      </c>
      <c r="F130" s="297" t="n">
        <v>0.11636932</v>
      </c>
      <c r="G130" s="298">
        <f>E130*0.11636932</f>
        <v/>
      </c>
    </row>
    <row r="131" spans="1:10">
      <c r="B131" s="6" t="s">
        <v>119</v>
      </c>
      <c r="C131" s="12" t="n">
        <v>38965</v>
      </c>
      <c r="D131" s="13" t="n">
        <v>84495</v>
      </c>
      <c r="E131" s="13" t="n">
        <v>5365</v>
      </c>
      <c r="F131" s="297" t="n">
        <v>0.11484</v>
      </c>
      <c r="G131" s="298">
        <f>E131*0.11484</f>
        <v/>
      </c>
    </row>
    <row r="132" spans="1:10">
      <c r="B132" s="6" t="s">
        <v>120</v>
      </c>
      <c r="C132" s="12" t="n">
        <v>38993</v>
      </c>
      <c r="D132" s="13" t="n">
        <v>87892</v>
      </c>
      <c r="E132" s="13" t="n">
        <v>3397</v>
      </c>
      <c r="F132" s="297" t="n">
        <v>0.1272</v>
      </c>
      <c r="G132" s="298">
        <f>E132*F132</f>
        <v/>
      </c>
    </row>
    <row r="133" spans="1:10">
      <c r="B133" s="6" t="s">
        <v>121</v>
      </c>
      <c r="C133" s="12" t="n">
        <v>39035</v>
      </c>
      <c r="D133" s="13" t="n">
        <v>92145</v>
      </c>
      <c r="E133" s="13" t="n">
        <v>4253</v>
      </c>
      <c r="F133" s="297" t="n">
        <v>0.1144</v>
      </c>
      <c r="G133" s="298">
        <f>E133*F133</f>
        <v/>
      </c>
    </row>
    <row r="134" spans="1:10">
      <c r="B134" s="6" t="s">
        <v>122</v>
      </c>
      <c r="C134" s="12" t="n">
        <v>39056</v>
      </c>
      <c r="D134" s="13" t="n">
        <v>94587</v>
      </c>
      <c r="E134" s="13" t="n">
        <v>2442</v>
      </c>
      <c r="F134" s="297" t="n">
        <v>0.0893</v>
      </c>
      <c r="G134" s="298">
        <f>E134*F134</f>
        <v/>
      </c>
    </row>
    <row r="135" spans="1:10">
      <c r="B135" s="6" t="s">
        <v>123</v>
      </c>
      <c r="C135" s="12" t="n">
        <v>38725</v>
      </c>
      <c r="D135" s="13" t="n">
        <v>98476</v>
      </c>
      <c r="E135" s="13" t="n">
        <v>3889</v>
      </c>
      <c r="F135" s="297" t="n">
        <v>0.09071382200188857</v>
      </c>
      <c r="G135" s="298">
        <f>E135*F135</f>
        <v/>
      </c>
    </row>
    <row r="136" spans="1:10">
      <c r="G136" s="300" t="n"/>
    </row>
    <row r="137" spans="1:10">
      <c r="A137" s="8" t="s">
        <v>19</v>
      </c>
      <c r="G137" s="300" t="n"/>
    </row>
    <row r="138" spans="1:10">
      <c r="A138" s="8" t="s">
        <v>124</v>
      </c>
      <c r="G138" s="300" t="n"/>
    </row>
    <row r="139" spans="1:10">
      <c r="A139" s="8" t="n"/>
      <c r="G139" s="300" t="n"/>
    </row>
    <row r="140" spans="1:10">
      <c r="G140" s="300" t="n"/>
    </row>
    <row r="141" spans="1:10">
      <c r="G141" s="300" t="n"/>
    </row>
    <row r="142" spans="1:10">
      <c r="G142" s="300" t="n"/>
    </row>
    <row r="143" spans="1:10">
      <c r="G143" s="300" t="n"/>
    </row>
    <row r="144" spans="1:10">
      <c r="G144" s="300" t="n"/>
    </row>
    <row r="145" spans="1:10">
      <c r="G145" s="300" t="n"/>
    </row>
    <row r="146" spans="1:10">
      <c r="G146" s="300" t="n"/>
    </row>
    <row r="147" spans="1:10">
      <c r="G147" s="300" t="n"/>
    </row>
    <row r="148" spans="1:10">
      <c r="G148" s="300" t="n"/>
    </row>
    <row r="149" spans="1:10">
      <c r="G149" s="300" t="n"/>
    </row>
    <row r="150" spans="1:10">
      <c r="G150" s="300" t="n"/>
    </row>
    <row r="151" spans="1:10">
      <c r="G151" s="300" t="n"/>
    </row>
    <row r="152" spans="1:10">
      <c r="G152" s="300" t="n"/>
    </row>
    <row r="153" spans="1:10">
      <c r="G153" s="300" t="n"/>
    </row>
    <row r="154" spans="1:10">
      <c r="G154" s="300" t="n"/>
    </row>
    <row r="155" spans="1:10">
      <c r="G155" s="300" t="n"/>
    </row>
    <row r="156" spans="1:10">
      <c r="G156" s="300" t="n"/>
    </row>
    <row r="157" spans="1:10">
      <c r="G157" s="300" t="n"/>
    </row>
    <row r="158" spans="1:10">
      <c r="G158" s="300" t="n"/>
    </row>
    <row r="159" spans="1:10">
      <c r="G159" s="300" t="n"/>
    </row>
    <row r="160" spans="1:10">
      <c r="G160" s="300" t="n"/>
    </row>
    <row r="161" spans="1:10">
      <c r="G161" s="300" t="n"/>
    </row>
    <row r="162" spans="1:10">
      <c r="G162" s="300" t="n"/>
    </row>
    <row r="163" spans="1:10">
      <c r="G163" s="300" t="n"/>
    </row>
    <row r="164" spans="1:10">
      <c r="G164" s="300" t="n"/>
    </row>
    <row r="165" spans="1:10">
      <c r="G165" s="300" t="n"/>
    </row>
    <row r="166" spans="1:10">
      <c r="G166" s="300" t="n"/>
    </row>
    <row r="167" spans="1:10">
      <c r="G167" s="300" t="n"/>
    </row>
    <row r="168" spans="1:10">
      <c r="G168" s="300" t="n"/>
    </row>
    <row r="169" spans="1:10">
      <c r="G169" s="300" t="n"/>
    </row>
    <row r="170" spans="1:10">
      <c r="G170" s="300" t="n"/>
    </row>
    <row r="171" spans="1:10">
      <c r="G171" s="300" t="n"/>
    </row>
    <row r="172" spans="1:10">
      <c r="G172" s="300" t="n"/>
    </row>
    <row r="173" spans="1:10">
      <c r="G173" s="300" t="n"/>
    </row>
    <row r="174" spans="1:10">
      <c r="G174" s="300" t="n"/>
    </row>
    <row r="175" spans="1:10">
      <c r="G175" s="300" t="n"/>
    </row>
    <row r="176" spans="1:10">
      <c r="G176" s="300" t="n"/>
    </row>
    <row r="177" spans="1:10">
      <c r="G177" s="300" t="n"/>
    </row>
    <row r="178" spans="1:10">
      <c r="G178" s="300" t="n"/>
    </row>
    <row r="179" spans="1:10">
      <c r="G179" s="300" t="n"/>
    </row>
    <row r="180" spans="1:10">
      <c r="G180" s="300" t="n"/>
    </row>
    <row r="181" spans="1:10">
      <c r="G181" s="300" t="n"/>
    </row>
    <row r="182" spans="1:10">
      <c r="G182" s="300" t="n"/>
    </row>
    <row r="183" spans="1:10">
      <c r="G183" s="300" t="n"/>
    </row>
    <row r="184" spans="1:10">
      <c r="G184" s="300" t="n"/>
    </row>
    <row r="185" spans="1:10">
      <c r="G185" s="300" t="n"/>
    </row>
    <row r="186" spans="1:10">
      <c r="G186" s="300" t="n"/>
    </row>
    <row r="187" spans="1:10">
      <c r="G187" s="300" t="n"/>
    </row>
    <row r="188" spans="1:10">
      <c r="G188" s="300" t="n"/>
    </row>
    <row r="189" spans="1:10">
      <c r="G189" s="300" t="n"/>
    </row>
    <row r="190" spans="1:10">
      <c r="G190" s="300" t="n"/>
    </row>
    <row r="191" spans="1:10">
      <c r="G191" s="300" t="n"/>
    </row>
    <row r="192" spans="1:10">
      <c r="G192" s="300" t="n"/>
    </row>
    <row r="193" spans="1:10">
      <c r="G193" s="300" t="n"/>
    </row>
    <row r="194" spans="1:10">
      <c r="G194" s="300" t="n"/>
    </row>
    <row r="195" spans="1:10">
      <c r="G195" s="300" t="n"/>
    </row>
    <row r="196" spans="1:10">
      <c r="G196" s="300" t="n"/>
    </row>
    <row r="197" spans="1:10">
      <c r="G197" s="300" t="n"/>
    </row>
    <row r="198" spans="1:10">
      <c r="G198" s="300" t="n"/>
    </row>
    <row r="199" spans="1:10">
      <c r="G199" s="300" t="n"/>
    </row>
    <row r="200" spans="1:10">
      <c r="G200" s="300" t="n"/>
    </row>
    <row r="201" spans="1:10">
      <c r="G201" s="300" t="n"/>
    </row>
    <row r="202" spans="1:10">
      <c r="G202" s="300" t="n"/>
    </row>
    <row r="203" spans="1:10">
      <c r="G203" s="300" t="n"/>
    </row>
    <row r="204" spans="1:10">
      <c r="G204" s="300" t="n"/>
    </row>
    <row r="205" spans="1:10">
      <c r="G205" s="300" t="n"/>
    </row>
    <row r="206" spans="1:10">
      <c r="G206" s="300" t="n"/>
    </row>
    <row r="207" spans="1:10">
      <c r="G207" s="300" t="n"/>
    </row>
    <row r="208" spans="1:10">
      <c r="G208" s="300" t="n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bottom="0.5" footer="0.5" header="0.5" left="0.25" right="0.25" top="0.5"/>
  <pageSetup fitToHeight="5"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K24"/>
  <sheetViews>
    <sheetView workbookViewId="0">
      <selection activeCell="A13" sqref="A13:A21"/>
    </sheetView>
  </sheetViews>
  <sheetFormatPr baseColWidth="8" defaultColWidth="10.7109375" defaultRowHeight="12.75" outlineLevelCol="0"/>
  <cols>
    <col customWidth="1" max="1" min="1" style="28" width="25.140625"/>
    <col bestFit="1" customWidth="1" max="2" min="2" style="28" width="11"/>
    <col customWidth="1" max="8" min="3" style="28" width="12.85546875"/>
    <col customWidth="1" max="9" min="9" style="28" width="20.7109375"/>
    <col customWidth="1" max="10" min="10" style="28" width="10.7109375"/>
    <col customWidth="1" max="11" min="11" style="28" width="17.7109375"/>
    <col customWidth="1" max="16384" min="12" style="28" width="10.7109375"/>
  </cols>
  <sheetData>
    <row customFormat="1" customHeight="1" ht="15.75" r="1" s="27" spans="1:11">
      <c r="A1" s="30" t="s">
        <v>125</v>
      </c>
      <c r="B1" s="205" t="n"/>
      <c r="C1" s="15" t="n"/>
      <c r="D1" s="205" t="n"/>
      <c r="E1" s="205" t="n"/>
      <c r="F1" s="205" t="n"/>
      <c r="G1" s="205" t="n"/>
      <c r="H1" s="205" t="n"/>
      <c r="I1" s="205" t="n"/>
      <c r="J1" s="205" t="n"/>
      <c r="K1" s="205" t="n"/>
    </row>
    <row customFormat="1" r="2" s="27" spans="1:11">
      <c r="A2" s="205" t="n"/>
      <c r="B2" s="205" t="n"/>
      <c r="C2" s="205" t="n"/>
      <c r="D2" s="205" t="n"/>
      <c r="E2" s="205" t="n"/>
      <c r="F2" s="205" t="n"/>
      <c r="G2" s="205" t="n"/>
      <c r="H2" s="205" t="n"/>
      <c r="I2" s="205" t="n"/>
      <c r="J2" s="205" t="n"/>
      <c r="K2" s="205" t="n"/>
    </row>
    <row customFormat="1" customHeight="1" ht="24" r="3" s="29" spans="1:11">
      <c r="A3" s="33" t="s">
        <v>3</v>
      </c>
      <c r="B3" s="34" t="s">
        <v>4</v>
      </c>
      <c r="C3" s="33" t="s">
        <v>126</v>
      </c>
      <c r="D3" s="33" t="s">
        <v>127</v>
      </c>
      <c r="E3" s="33" t="s">
        <v>51</v>
      </c>
      <c r="F3" s="33" t="s">
        <v>48</v>
      </c>
      <c r="G3" s="33" t="s">
        <v>44</v>
      </c>
      <c r="H3" s="33" t="s">
        <v>37</v>
      </c>
      <c r="I3" s="207" t="n"/>
      <c r="J3" s="207" t="n"/>
      <c r="K3" s="207" t="n"/>
    </row>
    <row r="4" spans="1:11">
      <c r="A4" s="238" t="s">
        <v>128</v>
      </c>
      <c r="B4" s="35" t="s">
        <v>91</v>
      </c>
      <c r="C4" s="36" t="n">
        <v>38838</v>
      </c>
      <c r="D4" s="37" t="n">
        <v>48534</v>
      </c>
      <c r="E4" s="37" t="n">
        <v>53936</v>
      </c>
      <c r="F4" s="37">
        <f>E4-D4</f>
        <v/>
      </c>
      <c r="G4" s="37" t="n"/>
      <c r="H4" s="301">
        <f>F4*0.98934</f>
        <v/>
      </c>
      <c r="I4" s="205" t="n"/>
      <c r="J4" s="205" t="n"/>
      <c r="K4" s="205" t="n"/>
    </row>
    <row r="5" spans="1:11">
      <c r="B5" s="39" t="s">
        <v>92</v>
      </c>
      <c r="C5" s="36" t="n">
        <v>38869</v>
      </c>
      <c r="D5" s="37" t="n">
        <v>53936</v>
      </c>
      <c r="E5" s="37" t="n">
        <v>57534</v>
      </c>
      <c r="F5" s="37">
        <f>E5-D5</f>
        <v/>
      </c>
      <c r="G5" s="37" t="n"/>
      <c r="H5" s="301">
        <f>F5*0.97388</f>
        <v/>
      </c>
      <c r="I5" s="205" t="n"/>
      <c r="J5" s="205" t="n"/>
      <c r="K5" s="205" t="n"/>
    </row>
    <row r="6" spans="1:11">
      <c r="B6" s="39" t="s">
        <v>93</v>
      </c>
      <c r="C6" s="36" t="n">
        <v>38896</v>
      </c>
      <c r="D6" s="37" t="n">
        <v>57534</v>
      </c>
      <c r="E6" s="37" t="n">
        <v>59617</v>
      </c>
      <c r="F6" s="37">
        <f>E6-D6</f>
        <v/>
      </c>
      <c r="G6" s="37" t="n"/>
      <c r="H6" s="301">
        <f>F6*0.81874</f>
        <v/>
      </c>
      <c r="I6" s="205" t="n"/>
      <c r="J6" s="205" t="n"/>
      <c r="K6" s="205" t="n"/>
    </row>
    <row r="7" spans="1:11">
      <c r="B7" s="39" t="s">
        <v>94</v>
      </c>
      <c r="C7" s="36" t="n">
        <v>38925</v>
      </c>
      <c r="D7" s="37" t="n">
        <v>59617</v>
      </c>
      <c r="E7" s="37" t="n">
        <v>61755</v>
      </c>
      <c r="F7" s="37">
        <f>E7-D7</f>
        <v/>
      </c>
      <c r="G7" s="37" t="n"/>
      <c r="H7" s="301">
        <f>F7*0.82277</f>
        <v/>
      </c>
      <c r="I7" s="205" t="n"/>
      <c r="J7" s="205" t="n"/>
      <c r="K7" s="205" t="n"/>
    </row>
    <row r="8" spans="1:11">
      <c r="B8" s="39" t="s">
        <v>95</v>
      </c>
      <c r="C8" s="36" t="n">
        <v>38965</v>
      </c>
      <c r="D8" s="37" t="n">
        <v>61755</v>
      </c>
      <c r="E8" s="37" t="n">
        <v>64169</v>
      </c>
      <c r="F8" s="37">
        <f>E8-D8</f>
        <v/>
      </c>
      <c r="G8" s="37" t="n"/>
      <c r="H8" s="301">
        <f>F8*0.88001</f>
        <v/>
      </c>
      <c r="I8" s="205" t="n"/>
      <c r="J8" s="205" t="n"/>
      <c r="K8" s="205" t="n"/>
    </row>
    <row r="9" spans="1:11">
      <c r="B9" s="39" t="s">
        <v>96</v>
      </c>
      <c r="C9" s="36" t="n">
        <v>38993</v>
      </c>
      <c r="D9" s="37">
        <f>E8</f>
        <v/>
      </c>
      <c r="E9" s="37" t="n">
        <v>67411</v>
      </c>
      <c r="F9" s="37">
        <f>E9-D9</f>
        <v/>
      </c>
      <c r="G9" s="302" t="n">
        <v>0.9132</v>
      </c>
      <c r="H9" s="301">
        <f>F9*G9</f>
        <v/>
      </c>
      <c r="I9" s="205" t="n"/>
      <c r="J9" s="205" t="n"/>
      <c r="K9" s="205" t="n"/>
    </row>
    <row r="10" spans="1:11">
      <c r="B10" s="39" t="s">
        <v>97</v>
      </c>
      <c r="C10" s="36" t="n">
        <v>39035</v>
      </c>
      <c r="D10" s="37">
        <f>E9</f>
        <v/>
      </c>
      <c r="E10" s="37" t="n">
        <v>73404</v>
      </c>
      <c r="F10" s="37">
        <f>E10-D10</f>
        <v/>
      </c>
      <c r="G10" s="302" t="n">
        <v>0.7521</v>
      </c>
      <c r="H10" s="301">
        <f>F10*G10</f>
        <v/>
      </c>
      <c r="I10" s="205" t="n"/>
      <c r="J10" s="205" t="n"/>
      <c r="K10" s="205" t="n"/>
    </row>
    <row r="11" spans="1:11">
      <c r="B11" s="39" t="s">
        <v>98</v>
      </c>
      <c r="C11" s="12" t="n">
        <v>39056</v>
      </c>
      <c r="D11" s="37">
        <f>E10</f>
        <v/>
      </c>
      <c r="E11" s="37" t="n">
        <v>77739</v>
      </c>
      <c r="F11" s="37">
        <f>E11-D11</f>
        <v/>
      </c>
      <c r="G11" s="302" t="n">
        <v>1.0069</v>
      </c>
      <c r="H11" s="301">
        <f>F11*G11</f>
        <v/>
      </c>
      <c r="I11" s="205" t="n"/>
      <c r="J11" s="205" t="n"/>
      <c r="K11" s="205" t="n"/>
    </row>
    <row r="12" spans="1:11">
      <c r="B12" s="39" t="s">
        <v>99</v>
      </c>
      <c r="C12" s="12" t="n">
        <v>38725</v>
      </c>
      <c r="D12" s="37">
        <f>E11</f>
        <v/>
      </c>
      <c r="E12" s="37" t="n">
        <v>83671</v>
      </c>
      <c r="F12" s="37">
        <f>E12-D12</f>
        <v/>
      </c>
      <c r="G12" s="302" t="n">
        <v>0.921453561907727</v>
      </c>
      <c r="H12" s="301">
        <f>F12*G12</f>
        <v/>
      </c>
      <c r="I12" s="205" t="n"/>
      <c r="J12" s="205" t="n"/>
      <c r="K12" s="205" t="n"/>
    </row>
    <row r="13" spans="1:11">
      <c r="A13" s="239" t="s">
        <v>50</v>
      </c>
      <c r="B13" s="35" t="s">
        <v>91</v>
      </c>
      <c r="C13" s="36" t="n">
        <v>38838</v>
      </c>
      <c r="D13" s="41" t="n">
        <v>2444</v>
      </c>
      <c r="E13" s="41" t="n">
        <v>2778</v>
      </c>
      <c r="F13" s="41">
        <f>E13-D13</f>
        <v/>
      </c>
      <c r="G13" s="41" t="n"/>
      <c r="H13" s="301">
        <f>F13*0.98934</f>
        <v/>
      </c>
      <c r="I13" s="205" t="n"/>
      <c r="J13" s="205" t="n"/>
      <c r="K13" s="205" t="n"/>
    </row>
    <row r="14" spans="1:11">
      <c r="B14" s="39" t="s">
        <v>92</v>
      </c>
      <c r="C14" s="36" t="n">
        <v>38869</v>
      </c>
      <c r="D14" s="41" t="n">
        <v>2778</v>
      </c>
      <c r="E14" s="37" t="n">
        <v>2978</v>
      </c>
      <c r="F14" s="37">
        <f>E14-D14</f>
        <v/>
      </c>
      <c r="G14" s="37" t="n"/>
      <c r="H14" s="301">
        <f>F14*0.97388</f>
        <v/>
      </c>
      <c r="I14" s="205" t="n"/>
      <c r="J14" s="205" t="n"/>
      <c r="K14" s="205" t="n"/>
    </row>
    <row r="15" spans="1:11">
      <c r="B15" s="39" t="s">
        <v>93</v>
      </c>
      <c r="C15" s="36" t="n">
        <v>38896</v>
      </c>
      <c r="D15" s="37" t="n">
        <v>2978</v>
      </c>
      <c r="E15" s="37" t="n">
        <v>3019</v>
      </c>
      <c r="F15" s="37">
        <f>E15-D15</f>
        <v/>
      </c>
      <c r="G15" s="37" t="n"/>
      <c r="H15" s="301">
        <f>F15*0.81874</f>
        <v/>
      </c>
      <c r="I15" s="117" t="n"/>
      <c r="J15" s="205" t="n"/>
      <c r="K15" s="303" t="n"/>
    </row>
    <row r="16" spans="1:11">
      <c r="B16" s="39" t="s">
        <v>94</v>
      </c>
      <c r="C16" s="36" t="n">
        <v>38925</v>
      </c>
      <c r="D16" s="37" t="n">
        <v>3019</v>
      </c>
      <c r="E16" s="37" t="n">
        <v>3061</v>
      </c>
      <c r="F16" s="37">
        <f>E16-D16</f>
        <v/>
      </c>
      <c r="G16" s="37" t="n"/>
      <c r="H16" s="301">
        <f>F16*0.82277</f>
        <v/>
      </c>
      <c r="I16" s="117" t="n"/>
      <c r="J16" s="205" t="n"/>
      <c r="K16" s="303" t="n"/>
    </row>
    <row r="17" spans="1:11">
      <c r="B17" s="39" t="s">
        <v>95</v>
      </c>
      <c r="C17" s="36" t="n">
        <v>38965</v>
      </c>
      <c r="D17" s="37" t="n">
        <v>3061</v>
      </c>
      <c r="E17" s="37" t="n">
        <v>3162</v>
      </c>
      <c r="F17" s="37">
        <f>E17-D17</f>
        <v/>
      </c>
      <c r="G17" s="37" t="n"/>
      <c r="H17" s="301">
        <f>F17*0.88001</f>
        <v/>
      </c>
    </row>
    <row r="18" spans="1:11">
      <c r="B18" s="39" t="s">
        <v>96</v>
      </c>
      <c r="C18" s="36" t="n">
        <v>38993</v>
      </c>
      <c r="D18" s="37">
        <f>E17</f>
        <v/>
      </c>
      <c r="E18" s="37" t="n">
        <v>3391</v>
      </c>
      <c r="F18" s="37">
        <f>E18-D18</f>
        <v/>
      </c>
      <c r="G18" s="302" t="n">
        <v>0.9132</v>
      </c>
      <c r="H18" s="301">
        <f>F18*G18</f>
        <v/>
      </c>
    </row>
    <row r="19" spans="1:11">
      <c r="B19" s="39" t="s">
        <v>97</v>
      </c>
      <c r="C19" s="36" t="n">
        <v>39035</v>
      </c>
      <c r="D19" s="37">
        <f>E18</f>
        <v/>
      </c>
      <c r="E19" s="37" t="n">
        <v>3708</v>
      </c>
      <c r="F19" s="37">
        <f>E19-D19</f>
        <v/>
      </c>
      <c r="G19" s="302" t="n">
        <v>0.7521</v>
      </c>
      <c r="H19" s="301">
        <f>F19*G19</f>
        <v/>
      </c>
    </row>
    <row r="20" spans="1:11">
      <c r="B20" s="39" t="s">
        <v>98</v>
      </c>
      <c r="C20" s="12" t="n">
        <v>39056</v>
      </c>
      <c r="D20" s="37">
        <f>E19</f>
        <v/>
      </c>
      <c r="E20" s="37" t="n">
        <v>3890</v>
      </c>
      <c r="F20" s="37">
        <f>E20-D20</f>
        <v/>
      </c>
      <c r="G20" s="302" t="n">
        <v>1.0069</v>
      </c>
      <c r="H20" s="301">
        <f>F20*G20</f>
        <v/>
      </c>
    </row>
    <row r="21" spans="1:11">
      <c r="B21" s="39" t="s">
        <v>99</v>
      </c>
      <c r="C21" s="12" t="n">
        <v>38725</v>
      </c>
      <c r="D21" s="37">
        <f>E20</f>
        <v/>
      </c>
      <c r="E21" s="304" t="n">
        <v>4075</v>
      </c>
      <c r="F21" s="37">
        <f>E21-D21</f>
        <v/>
      </c>
      <c r="G21" s="302" t="n">
        <v>0.921453561907727</v>
      </c>
      <c r="H21" s="301">
        <f>F21*G21</f>
        <v/>
      </c>
    </row>
    <row r="23" spans="1:11">
      <c r="A23" s="8" t="s">
        <v>19</v>
      </c>
      <c r="B23" s="205" t="n"/>
      <c r="C23" s="205" t="n"/>
      <c r="D23" s="205" t="n"/>
      <c r="E23" s="205" t="n"/>
      <c r="F23" s="205" t="n"/>
      <c r="G23" s="205" t="n"/>
      <c r="H23" s="205" t="n"/>
    </row>
    <row r="24" spans="1:11">
      <c r="A24" s="8" t="s">
        <v>54</v>
      </c>
      <c r="B24" s="205" t="n"/>
      <c r="C24" s="205" t="n"/>
      <c r="D24" s="205" t="n"/>
      <c r="E24" s="205" t="n"/>
      <c r="F24" s="205" t="n"/>
      <c r="G24" s="205" t="n"/>
      <c r="H24" s="205" t="n"/>
    </row>
  </sheetData>
  <mergeCells count="2">
    <mergeCell ref="A4:A12"/>
    <mergeCell ref="A13:A21"/>
  </mergeCells>
  <pageMargins bottom="0.25" footer="0.5" header="0.5" left="0.5" right="0.5" top="0.5"/>
  <pageSetup orientation="landscape"/>
  <headerFooter alignWithMargins="0">
    <oddHeader/>
    <oddFooter>&amp;C&amp;P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Timothy Olson</dc:creator>
  <dcterms:created xsi:type="dcterms:W3CDTF">2005-09-26T20:22:28Z</dcterms:created>
  <dcterms:modified xsi:type="dcterms:W3CDTF">2018-04-13T20:15:59Z</dcterms:modified>
  <cp:lastModifiedBy>ucmuser</cp:lastModifiedBy>
  <cp:lastPrinted>2017-06-08T17:41:41Z</cp:lastPrinted>
</cp:coreProperties>
</file>