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xr:revisionPtr revIDLastSave="0" documentId="13_ncr:1_{5E9DF998-933A-41B1-A4F5-0A0210B2AA91}" xr6:coauthVersionLast="43" xr6:coauthVersionMax="43" xr10:uidLastSave="{00000000-0000-0000-0000-000000000000}"/>
  <bookViews>
    <workbookView xWindow="-100" yWindow="-100" windowWidth="21467" windowHeight="11576" activeTab="1" xr2:uid="{04F3EA84-77F3-4BE5-B29B-4A95680A105C}"/>
  </bookViews>
  <sheets>
    <sheet name="Sheet1" sheetId="1" r:id="rId1"/>
    <sheet name="8" sheetId="3" r:id="rId2"/>
    <sheet name="Sheet3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3" l="1"/>
  <c r="AR17" i="1"/>
  <c r="Q21" i="2" l="1"/>
  <c r="P21" i="2"/>
  <c r="P13" i="2"/>
  <c r="O13" i="2"/>
  <c r="L177" i="2"/>
  <c r="K177" i="2"/>
  <c r="J177" i="2"/>
  <c r="I177" i="2"/>
  <c r="H177" i="2"/>
  <c r="L166" i="2"/>
  <c r="K166" i="2"/>
  <c r="J166" i="2"/>
  <c r="I166" i="2"/>
  <c r="H166" i="2"/>
  <c r="K155" i="2"/>
  <c r="J155" i="2"/>
  <c r="L153" i="2"/>
  <c r="K153" i="2"/>
  <c r="J153" i="2"/>
  <c r="I153" i="2"/>
  <c r="H153" i="2"/>
  <c r="K142" i="2"/>
  <c r="J142" i="2"/>
  <c r="L140" i="2"/>
  <c r="K140" i="2"/>
  <c r="J140" i="2"/>
  <c r="I140" i="2"/>
  <c r="H140" i="2"/>
  <c r="K129" i="2"/>
  <c r="J129" i="2"/>
  <c r="L127" i="2"/>
  <c r="K127" i="2"/>
  <c r="J127" i="2"/>
  <c r="I127" i="2"/>
  <c r="H127" i="2"/>
  <c r="L116" i="2"/>
  <c r="K116" i="2"/>
  <c r="J116" i="2"/>
  <c r="I116" i="2"/>
  <c r="H116" i="2"/>
  <c r="J105" i="2"/>
  <c r="K105" i="2"/>
  <c r="K104" i="2"/>
  <c r="J104" i="2"/>
  <c r="I102" i="2"/>
  <c r="J102" i="2"/>
  <c r="K102" i="2"/>
  <c r="L102" i="2"/>
  <c r="H102" i="2"/>
  <c r="J90" i="2"/>
  <c r="K89" i="2"/>
  <c r="J89" i="2"/>
  <c r="I82" i="2"/>
  <c r="J82" i="2"/>
  <c r="K82" i="2"/>
  <c r="H82" i="2"/>
  <c r="J71" i="2"/>
  <c r="K71" i="2"/>
  <c r="J65" i="2"/>
  <c r="I62" i="2"/>
  <c r="J62" i="2"/>
  <c r="H62" i="2"/>
  <c r="H52" i="2"/>
  <c r="L52" i="2" s="1"/>
  <c r="H51" i="2"/>
  <c r="H49" i="2"/>
  <c r="J47" i="2"/>
  <c r="K47" i="2" s="1"/>
  <c r="J39" i="2"/>
  <c r="J41" i="2" s="1"/>
  <c r="I39" i="2"/>
  <c r="H39" i="2"/>
  <c r="H30" i="2"/>
  <c r="H29" i="2"/>
  <c r="H28" i="2"/>
  <c r="L25" i="2"/>
  <c r="H25" i="2"/>
  <c r="K25" i="2" s="1"/>
  <c r="J14" i="2"/>
  <c r="J18" i="2" s="1"/>
  <c r="J20" i="2" s="1"/>
  <c r="H14" i="2"/>
  <c r="R12" i="2" l="1"/>
  <c r="R11" i="2"/>
  <c r="R10" i="2"/>
  <c r="J43" i="2"/>
  <c r="J16" i="2"/>
  <c r="J27" i="2"/>
  <c r="AQ5" i="1"/>
  <c r="AQ6" i="1"/>
  <c r="AQ7" i="1"/>
  <c r="AQ8" i="1"/>
  <c r="AQ9" i="1"/>
  <c r="AQ4" i="1"/>
  <c r="I8" i="1" l="1"/>
  <c r="I10" i="1" s="1"/>
  <c r="I4" i="1"/>
  <c r="V10" i="1"/>
  <c r="T3" i="1" s="1"/>
  <c r="U10" i="1"/>
  <c r="I5" i="1" s="1"/>
  <c r="T14" i="1"/>
  <c r="T15" i="1" s="1"/>
  <c r="T4" i="1" s="1"/>
  <c r="S64" i="1"/>
  <c r="AC23" i="1" l="1"/>
  <c r="AC36" i="1"/>
  <c r="AC18" i="1"/>
  <c r="T5" i="1"/>
  <c r="F8" i="3" s="1"/>
  <c r="F9" i="3" s="1"/>
  <c r="K5" i="1" l="1"/>
  <c r="AC4" i="1"/>
  <c r="AC3" i="1"/>
  <c r="AC14" i="1" s="1"/>
  <c r="I6" i="1"/>
  <c r="I7" i="1" s="1"/>
  <c r="AC6" i="1" l="1"/>
  <c r="AC7" i="1" s="1"/>
  <c r="AD7" i="1" s="1"/>
  <c r="AC10" i="1" s="1"/>
  <c r="AC15" i="1"/>
  <c r="AC16" i="1" s="1"/>
  <c r="I9" i="1"/>
  <c r="K4" i="1" s="1"/>
  <c r="AC20" i="1" s="1"/>
  <c r="AC8" i="1" l="1"/>
  <c r="AC11" i="1"/>
  <c r="AE11" i="1"/>
  <c r="K6" i="1"/>
  <c r="AC19" i="1" s="1"/>
  <c r="AC31" i="1"/>
  <c r="AC32" i="1" s="1"/>
  <c r="AC50" i="1" l="1"/>
  <c r="AC51" i="1" s="1"/>
  <c r="AD51" i="1" s="1"/>
  <c r="AC22" i="1"/>
  <c r="AC24" i="1" s="1"/>
  <c r="AK3" i="1" s="1"/>
  <c r="AI3" i="1" s="1"/>
  <c r="AQ14" i="1" s="1"/>
  <c r="AD11" i="1"/>
  <c r="AC12" i="1" s="1"/>
  <c r="AE51" i="1" l="1"/>
  <c r="AC52" i="1" s="1"/>
  <c r="AC59" i="1" s="1"/>
  <c r="AE62" i="1" s="1"/>
  <c r="AC27" i="1"/>
  <c r="AC28" i="1" s="1"/>
  <c r="AC73" i="1" s="1"/>
  <c r="AC74" i="1" s="1"/>
  <c r="AC35" i="1"/>
  <c r="AC37" i="1" s="1"/>
  <c r="AC39" i="1" s="1"/>
  <c r="AL3" i="1"/>
  <c r="AC13" i="1"/>
  <c r="AC54" i="1" s="1"/>
  <c r="AC55" i="1" s="1"/>
  <c r="AC60" i="1" s="1"/>
  <c r="AD62" i="1" l="1"/>
  <c r="AF62" i="1" s="1"/>
  <c r="AD63" i="1"/>
  <c r="AC63" i="1"/>
  <c r="AC38" i="1"/>
  <c r="AD38" i="1" s="1"/>
  <c r="AC41" i="1" s="1"/>
  <c r="AK4" i="1"/>
  <c r="AI4" i="1" s="1"/>
  <c r="AQ15" i="1" s="1"/>
  <c r="AL4" i="1"/>
  <c r="AK5" i="1" s="1"/>
  <c r="AI5" i="1" s="1"/>
  <c r="AQ16" i="1" s="1"/>
  <c r="AF63" i="1" l="1"/>
  <c r="AQ17" i="1"/>
  <c r="AS15" i="1" s="1"/>
  <c r="G11" i="3" s="1"/>
  <c r="AI6" i="1"/>
  <c r="AK6" i="1" s="1"/>
  <c r="AC42" i="1"/>
  <c r="AD42" i="1" s="1"/>
  <c r="AC44" i="1" s="1"/>
  <c r="AC43" i="1"/>
  <c r="AC65" i="1" l="1"/>
  <c r="AC66" i="1" s="1"/>
  <c r="AS14" i="1"/>
  <c r="G9" i="3" s="1"/>
  <c r="F10" i="3" s="1"/>
  <c r="F11" i="3" s="1"/>
  <c r="F12" i="3" s="1"/>
  <c r="F13" i="3" s="1"/>
  <c r="AS16" i="1"/>
  <c r="G13" i="3" s="1"/>
  <c r="AL9" i="1"/>
  <c r="AK9" i="1"/>
  <c r="AI9" i="1" s="1"/>
  <c r="AC67" i="1" l="1"/>
  <c r="AC69" i="1"/>
  <c r="AC68" i="1"/>
  <c r="H13" i="3"/>
  <c r="AK13" i="1"/>
  <c r="AK14" i="1" s="1"/>
  <c r="AI14" i="1" s="1"/>
  <c r="AL10" i="1"/>
  <c r="AI11" i="1" s="1"/>
  <c r="AK10" i="1"/>
  <c r="AI10" i="1" s="1"/>
  <c r="F18" i="3" l="1"/>
  <c r="H18" i="3" s="1"/>
  <c r="F17" i="3"/>
  <c r="H17" i="3" s="1"/>
  <c r="AL14" i="1"/>
  <c r="AK15" i="1" s="1"/>
  <c r="AI15" i="1" s="1"/>
  <c r="F19" i="3" l="1"/>
  <c r="J21" i="3" s="1"/>
  <c r="H28" i="3" s="1"/>
  <c r="AL15" i="1"/>
  <c r="AI16" i="1" s="1"/>
  <c r="AI20" i="1"/>
  <c r="AJ21" i="1"/>
  <c r="AI21" i="1" s="1"/>
  <c r="F20" i="3" l="1"/>
  <c r="J20" i="3" s="1"/>
  <c r="H27" i="3" s="1"/>
  <c r="AI26" i="1"/>
  <c r="AI25" i="1"/>
  <c r="AI22" i="1"/>
  <c r="F21" i="3" l="1"/>
  <c r="J19" i="3" s="1"/>
  <c r="H26" i="3" s="1"/>
  <c r="H29" i="3" s="1"/>
  <c r="AI30" i="1"/>
  <c r="AI31" i="1" s="1"/>
  <c r="AI32" i="1" s="1"/>
  <c r="J26" i="3" l="1"/>
  <c r="J27" i="3"/>
  <c r="J28" i="3"/>
  <c r="I27" i="3"/>
  <c r="I26" i="3"/>
  <c r="I28" i="3"/>
  <c r="AI37" i="1"/>
  <c r="T19" i="1" s="1"/>
  <c r="U20" i="1" s="1"/>
  <c r="AJ32" i="1"/>
  <c r="AI34" i="1" s="1"/>
  <c r="T20" i="1" l="1"/>
  <c r="AI33" i="1"/>
  <c r="T22" i="1"/>
  <c r="T21" i="1"/>
</calcChain>
</file>

<file path=xl/sharedStrings.xml><?xml version="1.0" encoding="utf-8"?>
<sst xmlns="http://schemas.openxmlformats.org/spreadsheetml/2006/main" count="97" uniqueCount="73">
  <si>
    <t>หา หรคุณเถลิงศก</t>
  </si>
  <si>
    <t>วาร</t>
  </si>
  <si>
    <t>วัน</t>
  </si>
  <si>
    <t>วันเถลิงศก </t>
  </si>
  <si>
    <t>วินาทีสุทธิ</t>
  </si>
  <si>
    <t>Day</t>
  </si>
  <si>
    <t>Month</t>
  </si>
  <si>
    <t>year</t>
  </si>
  <si>
    <t>second</t>
  </si>
  <si>
    <t>hour</t>
  </si>
  <si>
    <t>minute</t>
  </si>
  <si>
    <t>วันสุทธิ</t>
  </si>
  <si>
    <t>จ.ศ กำเนิด</t>
  </si>
  <si>
    <t>หา หรคุณสุรทินประสงค์</t>
  </si>
  <si>
    <t>GM </t>
  </si>
  <si>
    <t>GY </t>
  </si>
  <si>
    <t>YF </t>
  </si>
  <si>
    <t>J1 </t>
  </si>
  <si>
    <t>HF </t>
  </si>
  <si>
    <t>J2 </t>
  </si>
  <si>
    <t>FC </t>
  </si>
  <si>
    <t>HorB </t>
  </si>
  <si>
    <t>HorT</t>
  </si>
  <si>
    <t>SP </t>
  </si>
  <si>
    <t>สุรทินประสงค์</t>
  </si>
  <si>
    <t>หรคุณกำเนิด</t>
  </si>
  <si>
    <t>หรคุณเถลิงศก</t>
  </si>
  <si>
    <t>กัมมัชพลเถลิงศก</t>
  </si>
  <si>
    <t>อวมานเถลิงศก</t>
  </si>
  <si>
    <t>มาสเกณฑ์เถลิงศก</t>
  </si>
  <si>
    <t>ดิถีเถลิงศก</t>
  </si>
  <si>
    <t>อุจพลเถลิงศก</t>
  </si>
  <si>
    <t>ทศนิยมเวลาเกิด</t>
  </si>
  <si>
    <t>กัมมัชพลกำเนิด</t>
  </si>
  <si>
    <t>อุจจพลเต็มจำนวน</t>
  </si>
  <si>
    <t>อุจจพลกำเนิด</t>
  </si>
  <si>
    <t>อวมานกำเนิด</t>
  </si>
  <si>
    <t>อวมานเวลาเกิด</t>
  </si>
  <si>
    <t>วารกำเนิด</t>
  </si>
  <si>
    <t>อวมานสุทธิ</t>
  </si>
  <si>
    <t>ดิถีกำเนิด</t>
  </si>
  <si>
    <t>มาสเกณฑ์กำเนิด</t>
  </si>
  <si>
    <t>ราศี</t>
  </si>
  <si>
    <t>องศา</t>
  </si>
  <si>
    <t>ลิปดา</t>
  </si>
  <si>
    <t>มัธยมอาทิตย์</t>
  </si>
  <si>
    <t>ลิปดาสุทธิ </t>
  </si>
  <si>
    <t>เกณฑ์</t>
  </si>
  <si>
    <t>พลเกณฑ์</t>
  </si>
  <si>
    <t> ขันธ์</t>
  </si>
  <si>
    <t>ภุชลิปด์</t>
  </si>
  <si>
    <t>ฉายาพระอาทิตย์</t>
  </si>
  <si>
    <t>ฉายาชั้นบน</t>
  </si>
  <si>
    <t>ฉายาเท่าขันธ์</t>
  </si>
  <si>
    <t>รวิภุชผล</t>
  </si>
  <si>
    <t>ลิปดาสุทธิ</t>
  </si>
  <si>
    <t>สมผุสพระอาทิตย์</t>
  </si>
  <si>
    <t>จ.ศ.</t>
  </si>
  <si>
    <t>จากตาราง F1</t>
  </si>
  <si>
    <t>ราหู</t>
  </si>
  <si>
    <t>อังคาร</t>
  </si>
  <si>
    <t>พุทธ</t>
  </si>
  <si>
    <t>พฤหัส</t>
  </si>
  <si>
    <t>ศุกร์</t>
  </si>
  <si>
    <t>เสาร์</t>
  </si>
  <si>
    <t>มฤตยู</t>
  </si>
  <si>
    <t>มัธยมรวิ</t>
  </si>
  <si>
    <t>มัธยมราหู</t>
  </si>
  <si>
    <t>สมผุสราหู</t>
  </si>
  <si>
    <t> กำลังพระเคราะห์</t>
  </si>
  <si>
    <t>อวมานประสงค์</t>
  </si>
  <si>
    <t>ดิถีประสงค์</t>
  </si>
  <si>
    <t>มัธยมจันทร์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</si>
</sst>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70000]d/mm/yyyy\ h:mm\ &quot;น.&quot;;@"/>
    <numFmt numFmtId="165" formatCode="m/d/yy\ h:mm;@"/>
    <numFmt numFmtId="166" formatCode="m/d/yy;@"/>
  </numFmts>
  <fonts count="12" x14ac:knownFonts="1">
    <font>
      <sz val="11"/>
      <color theme="1"/>
      <name val="Calibri"/>
      <family val="2"/>
      <scheme val="minor"/>
    </font>
    <font>
      <b/>
      <sz val="14"/>
      <color rgb="FF993300"/>
      <name val="Arial"/>
      <family val="2"/>
    </font>
    <font>
      <b/>
      <sz val="14"/>
      <color rgb="FF0000FF"/>
      <name val="Arial"/>
      <family val="2"/>
    </font>
    <font>
      <b/>
      <sz val="14"/>
      <color rgb="FFFF0000"/>
      <name val="Arial"/>
      <family val="2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rgb="FF00FF00"/>
      <name val="Tahoma"/>
      <family val="2"/>
    </font>
    <font>
      <b/>
      <sz val="12"/>
      <color rgb="FFFF0000"/>
      <name val="Tahoma"/>
      <family val="2"/>
    </font>
    <font>
      <b/>
      <sz val="14"/>
      <color rgb="FFFFFF00"/>
      <name val="Tahoma"/>
      <family val="2"/>
    </font>
    <font>
      <sz val="18"/>
      <color theme="1"/>
      <name val="Calibri"/>
      <family val="2"/>
      <scheme val="minor"/>
    </font>
    <font>
      <sz val="14"/>
      <color rgb="FFFF00F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2EB6-7907-4E54-8488-9A6EA986B7C3}">
  <dimension ref="H2:AS74"/>
  <sheetViews>
    <sheetView topLeftCell="R6" zoomScale="71" zoomScaleNormal="100" workbookViewId="0">
      <selection activeCell="U25" sqref="U25"/>
    </sheetView>
  </sheetViews>
  <sheetFormatPr defaultRowHeight="14.4" x14ac:dyDescent="0.3"/>
  <cols>
    <col min="10" max="10" width="9.19921875" customWidth="1"/>
    <col min="11" max="11" width="9.3984375" customWidth="1"/>
    <col min="12" max="12" width="8.796875" customWidth="1"/>
    <col min="13" max="13" width="9.8984375" customWidth="1"/>
    <col min="19" max="19" width="22.19921875" customWidth="1"/>
    <col min="20" max="20" width="13.19921875" customWidth="1"/>
    <col min="21" max="21" width="11.8984375" bestFit="1" customWidth="1"/>
    <col min="22" max="22" width="9.59765625" customWidth="1"/>
    <col min="23" max="23" width="8.69921875" customWidth="1"/>
    <col min="28" max="28" width="26.296875" customWidth="1"/>
    <col min="29" max="29" width="13.796875" customWidth="1"/>
    <col min="30" max="30" width="8.796875" customWidth="1"/>
    <col min="33" max="33" width="8.796875" customWidth="1"/>
    <col min="34" max="34" width="15.59765625" customWidth="1"/>
    <col min="36" max="36" width="8.796875" customWidth="1"/>
    <col min="38" max="38" width="18.796875" customWidth="1"/>
    <col min="42" max="42" width="13.296875" customWidth="1"/>
    <col min="43" max="43" width="10.19921875" customWidth="1"/>
  </cols>
  <sheetData>
    <row r="2" spans="8:45" ht="17.75" x14ac:dyDescent="0.35">
      <c r="H2">
        <v>1</v>
      </c>
      <c r="I2" t="s">
        <v>13</v>
      </c>
      <c r="Z2">
        <v>1</v>
      </c>
      <c r="AA2" t="s">
        <v>0</v>
      </c>
      <c r="AH2" s="3" t="s">
        <v>45</v>
      </c>
      <c r="AI2" s="3"/>
      <c r="AP2" s="13" t="s">
        <v>51</v>
      </c>
    </row>
    <row r="3" spans="8:45" ht="17.75" x14ac:dyDescent="0.35">
      <c r="S3" s="1" t="s">
        <v>3</v>
      </c>
      <c r="T3">
        <f>V10*0.25875-INT(V10/4 +0.5)+INT(V10/100 +0.38)-INT(V10/400 +0.595)-5.53375</f>
        <v>15.953749999999953</v>
      </c>
      <c r="AB3" s="3" t="s">
        <v>26</v>
      </c>
      <c r="AC3">
        <f>INT((T5*292207+373)/800)+1</f>
        <v>500040</v>
      </c>
      <c r="AH3" t="s">
        <v>42</v>
      </c>
      <c r="AI3">
        <f>INT(AK3)</f>
        <v>10</v>
      </c>
      <c r="AK3">
        <f>AC24/24350</f>
        <v>10.950472279260781</v>
      </c>
      <c r="AL3">
        <f>MOD(AC24,24350)</f>
        <v>23144</v>
      </c>
      <c r="AO3" s="12" t="s">
        <v>49</v>
      </c>
      <c r="AP3" s="2" t="s">
        <v>52</v>
      </c>
      <c r="AQ3" s="2" t="s">
        <v>53</v>
      </c>
    </row>
    <row r="4" spans="8:45" ht="17.75" x14ac:dyDescent="0.35">
      <c r="H4" t="s">
        <v>14</v>
      </c>
      <c r="I4" s="4">
        <f>IF(T9&gt;2,T9+1,T9+13)</f>
        <v>4</v>
      </c>
      <c r="J4" t="s">
        <v>21</v>
      </c>
      <c r="K4" s="10">
        <f>ROUND((I9+I10-1954167.5), 0)</f>
        <v>500373</v>
      </c>
      <c r="S4" s="1" t="s">
        <v>11</v>
      </c>
      <c r="T4">
        <f>T8+T15</f>
        <v>15</v>
      </c>
      <c r="AB4" s="2" t="s">
        <v>27</v>
      </c>
      <c r="AC4">
        <f>800-MOD(T5*292207+373,800)</f>
        <v>244</v>
      </c>
      <c r="AH4" t="s">
        <v>43</v>
      </c>
      <c r="AI4">
        <f>INT(AK4)</f>
        <v>28</v>
      </c>
      <c r="AK4">
        <f>AL3/811</f>
        <v>28.537607891491984</v>
      </c>
      <c r="AL4">
        <f>MOD(AL3,811)</f>
        <v>436</v>
      </c>
      <c r="AO4">
        <v>0</v>
      </c>
      <c r="AP4">
        <v>0</v>
      </c>
      <c r="AQ4">
        <f>AP5-AP4</f>
        <v>35</v>
      </c>
    </row>
    <row r="5" spans="8:45" x14ac:dyDescent="0.3">
      <c r="H5" t="s">
        <v>15</v>
      </c>
      <c r="I5">
        <f>IF(T9&gt;2,U10,U10-1)</f>
        <v>2008</v>
      </c>
      <c r="J5" t="s">
        <v>22</v>
      </c>
      <c r="K5" s="10">
        <f>INT((T5*292207/800)+(373/800))+1</f>
        <v>500040</v>
      </c>
      <c r="S5" t="s">
        <v>12</v>
      </c>
      <c r="T5">
        <f>IF(OR(T9&gt;4,AND(T9=4,T4&gt;=T3)),V10,V10-1)</f>
        <v>1369</v>
      </c>
      <c r="AH5" t="s">
        <v>44</v>
      </c>
      <c r="AI5">
        <f>INT(AK5)-3</f>
        <v>28</v>
      </c>
      <c r="AK5">
        <f>AL4/14</f>
        <v>31.142857142857142</v>
      </c>
      <c r="AO5">
        <v>1</v>
      </c>
      <c r="AP5">
        <v>35</v>
      </c>
      <c r="AQ5">
        <f t="shared" ref="AQ5:AQ9" si="0">AP6-AP5</f>
        <v>32</v>
      </c>
    </row>
    <row r="6" spans="8:45" x14ac:dyDescent="0.3">
      <c r="H6" t="s">
        <v>16</v>
      </c>
      <c r="I6">
        <f>INT(I5*0.01)</f>
        <v>20</v>
      </c>
      <c r="J6" t="s">
        <v>23</v>
      </c>
      <c r="K6" s="10">
        <f>K4-K5</f>
        <v>333</v>
      </c>
      <c r="AC6">
        <f>AC3*11+650</f>
        <v>5501090</v>
      </c>
      <c r="AH6" t="s">
        <v>46</v>
      </c>
      <c r="AI6">
        <f>(AI3*1800)+(AI4*60)+AI5</f>
        <v>19708</v>
      </c>
      <c r="AK6">
        <f>IF(AI6&gt;=4800,AI6-4800,21600+AI6-4800)</f>
        <v>14908</v>
      </c>
      <c r="AO6">
        <v>2</v>
      </c>
      <c r="AP6">
        <v>67</v>
      </c>
      <c r="AQ6">
        <f t="shared" si="0"/>
        <v>27</v>
      </c>
    </row>
    <row r="7" spans="8:45" x14ac:dyDescent="0.3">
      <c r="H7" t="s">
        <v>17</v>
      </c>
      <c r="I7">
        <f>INT(I5*365.25)+INT(I4*30.6)+T8+1720997-I6+INT(I6*0.25)</f>
        <v>2454540</v>
      </c>
      <c r="K7" s="4"/>
      <c r="AC7">
        <f>AC6/692</f>
        <v>7949.5520231213877</v>
      </c>
      <c r="AD7">
        <f>ROUNDDOWN(AC7,0)</f>
        <v>7949</v>
      </c>
      <c r="AO7">
        <v>3</v>
      </c>
      <c r="AP7">
        <v>94</v>
      </c>
      <c r="AQ7">
        <f t="shared" si="0"/>
        <v>22</v>
      </c>
    </row>
    <row r="8" spans="8:45" ht="17.75" x14ac:dyDescent="0.35">
      <c r="H8" t="s">
        <v>18</v>
      </c>
      <c r="I8">
        <f>IF((T11/24-0.5)&lt;0,(T11/24-0.5)+1.5,(T11/24-0.5))</f>
        <v>0.5</v>
      </c>
      <c r="S8" t="s">
        <v>5</v>
      </c>
      <c r="T8">
        <v>14</v>
      </c>
      <c r="AB8" s="2" t="s">
        <v>28</v>
      </c>
      <c r="AC8">
        <f>MOD(AC6,692)</f>
        <v>382</v>
      </c>
      <c r="AO8">
        <v>4</v>
      </c>
      <c r="AP8">
        <v>116</v>
      </c>
      <c r="AQ8">
        <f t="shared" si="0"/>
        <v>13</v>
      </c>
    </row>
    <row r="9" spans="8:45" ht="17.75" x14ac:dyDescent="0.35">
      <c r="H9" t="s">
        <v>19</v>
      </c>
      <c r="I9">
        <f>IF((T11/24-0.5)&lt;0,I7-1,I7)</f>
        <v>2454540</v>
      </c>
      <c r="S9" t="s">
        <v>6</v>
      </c>
      <c r="T9">
        <v>3</v>
      </c>
      <c r="AH9" s="3" t="s">
        <v>47</v>
      </c>
      <c r="AI9">
        <f>INT(AK9)</f>
        <v>8</v>
      </c>
      <c r="AK9">
        <f>AK6/1800</f>
        <v>8.2822222222222219</v>
      </c>
      <c r="AL9">
        <f>MOD(AK6,1800)</f>
        <v>508</v>
      </c>
      <c r="AO9">
        <v>5</v>
      </c>
      <c r="AP9">
        <v>129</v>
      </c>
      <c r="AQ9">
        <f t="shared" si="0"/>
        <v>5</v>
      </c>
    </row>
    <row r="10" spans="8:45" x14ac:dyDescent="0.3">
      <c r="H10" t="s">
        <v>20</v>
      </c>
      <c r="I10">
        <f>I8+((T11/60+T12)/60+T13)/60/24</f>
        <v>0.50000462962962966</v>
      </c>
      <c r="S10" t="s">
        <v>7</v>
      </c>
      <c r="T10">
        <v>2551</v>
      </c>
      <c r="U10">
        <f>T10-543</f>
        <v>2008</v>
      </c>
      <c r="V10">
        <f>T10-1181</f>
        <v>1370</v>
      </c>
      <c r="AC10">
        <f>AC3+AD7</f>
        <v>507989</v>
      </c>
      <c r="AH10" t="s">
        <v>43</v>
      </c>
      <c r="AI10">
        <f>INT(AK10)</f>
        <v>8</v>
      </c>
      <c r="AK10">
        <f>AL9/60</f>
        <v>8.4666666666666668</v>
      </c>
      <c r="AL10">
        <f>MOD(AL9,60)</f>
        <v>28</v>
      </c>
      <c r="AP10">
        <v>134</v>
      </c>
    </row>
    <row r="11" spans="8:45" ht="17.75" x14ac:dyDescent="0.35">
      <c r="J11" s="6"/>
      <c r="S11" t="s">
        <v>9</v>
      </c>
      <c r="T11">
        <v>24</v>
      </c>
      <c r="U11" s="5"/>
      <c r="AC11">
        <f>AC10/30</f>
        <v>16932.966666666667</v>
      </c>
      <c r="AD11">
        <f>ROUNDDOWN(AC11,0)</f>
        <v>16932</v>
      </c>
      <c r="AE11">
        <f>MOD(AC10,30)</f>
        <v>29</v>
      </c>
      <c r="AH11" t="s">
        <v>44</v>
      </c>
      <c r="AI11">
        <f>AL10</f>
        <v>28</v>
      </c>
    </row>
    <row r="12" spans="8:45" ht="17.75" x14ac:dyDescent="0.35">
      <c r="S12" t="s">
        <v>10</v>
      </c>
      <c r="T12">
        <v>0</v>
      </c>
      <c r="AB12" s="3" t="s">
        <v>29</v>
      </c>
      <c r="AC12">
        <f>AD11</f>
        <v>16932</v>
      </c>
    </row>
    <row r="13" spans="8:45" ht="17.75" x14ac:dyDescent="0.35">
      <c r="J13" s="8"/>
      <c r="M13" s="7"/>
      <c r="S13" t="s">
        <v>8</v>
      </c>
      <c r="T13">
        <v>0</v>
      </c>
      <c r="AB13" s="3" t="s">
        <v>30</v>
      </c>
      <c r="AC13">
        <f>AE11</f>
        <v>29</v>
      </c>
      <c r="AK13">
        <f>_xlfn.SWITCH(AI9,0,AK6,1,AK6,2,AK6,3,10800-AK6,4,10800-AK6,5,10800-AK6,6,AK6-10800,7,AK6-10800,8,AK6-10800,9,21600-AK6,10,21600-AK6,11,21600-AK6)</f>
        <v>4108</v>
      </c>
      <c r="AS13" s="3" t="s">
        <v>66</v>
      </c>
    </row>
    <row r="14" spans="8:45" ht="19.399999999999999" customHeight="1" x14ac:dyDescent="0.35">
      <c r="J14" s="9"/>
      <c r="S14" t="s">
        <v>4</v>
      </c>
      <c r="T14">
        <f>T11*3600+T12*60+T13</f>
        <v>86400</v>
      </c>
      <c r="AB14" s="3" t="s">
        <v>31</v>
      </c>
      <c r="AC14">
        <f>MOD(AC3-621,3232)</f>
        <v>1691</v>
      </c>
      <c r="AH14" s="3" t="s">
        <v>48</v>
      </c>
      <c r="AI14">
        <f>INT(AK14)</f>
        <v>2</v>
      </c>
      <c r="AK14">
        <f>AK13/1800</f>
        <v>2.2822222222222224</v>
      </c>
      <c r="AL14">
        <f>MOD(AK13,1800)</f>
        <v>508</v>
      </c>
      <c r="AP14" t="s">
        <v>42</v>
      </c>
      <c r="AQ14">
        <f>AI3</f>
        <v>10</v>
      </c>
      <c r="AR14">
        <v>0</v>
      </c>
      <c r="AS14">
        <f>INT((AQ17-AR17)/1800)</f>
        <v>10</v>
      </c>
    </row>
    <row r="15" spans="8:45" ht="17.75" x14ac:dyDescent="0.35">
      <c r="J15" s="9"/>
      <c r="S15" t="s">
        <v>32</v>
      </c>
      <c r="T15">
        <f>(T14/(24*3600))</f>
        <v>1</v>
      </c>
      <c r="AB15" s="3" t="s">
        <v>1</v>
      </c>
      <c r="AC15">
        <f>MOD(AC3,7)</f>
        <v>2</v>
      </c>
      <c r="AH15" t="s">
        <v>43</v>
      </c>
      <c r="AI15">
        <f>INT(AK15)</f>
        <v>8</v>
      </c>
      <c r="AK15">
        <f>AL14/60</f>
        <v>8.4666666666666668</v>
      </c>
      <c r="AL15">
        <f>MOD(AL14,60)</f>
        <v>28</v>
      </c>
      <c r="AP15" t="s">
        <v>43</v>
      </c>
      <c r="AQ15">
        <f>AI4</f>
        <v>28</v>
      </c>
      <c r="AR15">
        <v>0</v>
      </c>
      <c r="AS15">
        <f>INT(MOD((AQ17-AR17),1800)/60)</f>
        <v>28</v>
      </c>
    </row>
    <row r="16" spans="8:45" x14ac:dyDescent="0.3">
      <c r="AB16" t="s">
        <v>2</v>
      </c>
      <c r="AC16" s="4" t="str">
        <f>_xlfn.SWITCH(AC15,0,"เสาร์",1,"อาทิตย์",2,"จันทร์",3,"อังคาร",4,"พุทธ",5,"พฤหัส",6,"ศุกร์",7,"เสาร์")</f>
        <v>จันทร์</v>
      </c>
      <c r="AH16" t="s">
        <v>44</v>
      </c>
      <c r="AI16">
        <f>AL15</f>
        <v>28</v>
      </c>
      <c r="AP16" t="s">
        <v>44</v>
      </c>
      <c r="AQ16">
        <f>AI5</f>
        <v>28</v>
      </c>
      <c r="AR16">
        <v>23</v>
      </c>
      <c r="AS16">
        <f>MOD(MOD((AQ17-AR17),1800),60)</f>
        <v>5</v>
      </c>
    </row>
    <row r="17" spans="19:44" x14ac:dyDescent="0.3">
      <c r="AP17" t="s">
        <v>46</v>
      </c>
      <c r="AQ17">
        <f>(AQ14*1800)+(AQ15*60)+AQ16</f>
        <v>19708</v>
      </c>
      <c r="AR17">
        <f>(AR14*1800)+(AR15*60)+AR16</f>
        <v>23</v>
      </c>
    </row>
    <row r="18" spans="19:44" ht="17.75" x14ac:dyDescent="0.35">
      <c r="AB18" s="1" t="s">
        <v>3</v>
      </c>
      <c r="AC18">
        <f>V10*0.25875-INT(V10/4 +0.5)+INT(V10/100 +0.38)-INT(V10/400 +0.595)-5.53375</f>
        <v>15.953749999999953</v>
      </c>
    </row>
    <row r="19" spans="19:44" ht="17.2" x14ac:dyDescent="0.3">
      <c r="S19" s="12" t="s">
        <v>56</v>
      </c>
      <c r="T19">
        <f>IF(AI37&gt;=21600,AI37-21600,AI37)</f>
        <v>19831</v>
      </c>
      <c r="AB19" s="11" t="s">
        <v>24</v>
      </c>
      <c r="AC19">
        <f>K6</f>
        <v>333</v>
      </c>
    </row>
    <row r="20" spans="19:44" ht="17.2" x14ac:dyDescent="0.3">
      <c r="T20">
        <f>INT(T19/1800)</f>
        <v>11</v>
      </c>
      <c r="U20">
        <f>MOD(T19,1800)</f>
        <v>31</v>
      </c>
      <c r="AB20" s="12" t="s">
        <v>25</v>
      </c>
      <c r="AC20">
        <f>K4</f>
        <v>500373</v>
      </c>
      <c r="AH20" s="12" t="s">
        <v>49</v>
      </c>
      <c r="AI20">
        <f>IF(AI15&gt;=15,AI14*2+1,AI14*2)</f>
        <v>4</v>
      </c>
    </row>
    <row r="21" spans="19:44" x14ac:dyDescent="0.3">
      <c r="T21">
        <f>INT(U20/60)</f>
        <v>0</v>
      </c>
      <c r="AI21">
        <f>AJ21*60</f>
        <v>480</v>
      </c>
      <c r="AJ21">
        <f>IF(AI15&gt;=15,AI15-15,AI15)</f>
        <v>8</v>
      </c>
    </row>
    <row r="22" spans="19:44" ht="17.2" x14ac:dyDescent="0.3">
      <c r="T22">
        <f>MOD(U20,60)</f>
        <v>31</v>
      </c>
      <c r="AC22">
        <f>(AC19 - 1)*800+AC4</f>
        <v>265844</v>
      </c>
      <c r="AH22" s="12" t="s">
        <v>50</v>
      </c>
      <c r="AI22">
        <f>AI21+AI16</f>
        <v>508</v>
      </c>
    </row>
    <row r="23" spans="19:44" x14ac:dyDescent="0.3">
      <c r="AC23">
        <f>INT(T14/60*800/1440)</f>
        <v>800</v>
      </c>
    </row>
    <row r="24" spans="19:44" ht="17.2" x14ac:dyDescent="0.3">
      <c r="AB24" s="11" t="s">
        <v>33</v>
      </c>
      <c r="AC24">
        <f>AC22+AC23</f>
        <v>266644</v>
      </c>
    </row>
    <row r="25" spans="19:44" ht="17.75" x14ac:dyDescent="0.35">
      <c r="AH25" s="3" t="s">
        <v>52</v>
      </c>
      <c r="AI25">
        <f>VLOOKUP(AI20,AO4:AQ9,2,FALSE)</f>
        <v>116</v>
      </c>
    </row>
    <row r="26" spans="19:44" ht="17.75" x14ac:dyDescent="0.35">
      <c r="AH26" s="3" t="s">
        <v>53</v>
      </c>
      <c r="AI26">
        <f>VLOOKUP(AI20,AO4:AQ9,3,FALSE)</f>
        <v>13</v>
      </c>
    </row>
    <row r="27" spans="19:44" ht="17.2" x14ac:dyDescent="0.3">
      <c r="AB27" s="11" t="s">
        <v>34</v>
      </c>
      <c r="AC27">
        <f>ROUND((AC19 - 1+AC14+T15),2)</f>
        <v>2024</v>
      </c>
    </row>
    <row r="28" spans="19:44" ht="17.2" x14ac:dyDescent="0.3">
      <c r="AB28" s="11" t="s">
        <v>35</v>
      </c>
      <c r="AC28">
        <f>(IF(AC27&gt;3232,AC27-3232,AC27))</f>
        <v>2024</v>
      </c>
    </row>
    <row r="30" spans="19:44" x14ac:dyDescent="0.3">
      <c r="AI30">
        <f>INT(AI26*AI22/900)</f>
        <v>7</v>
      </c>
    </row>
    <row r="31" spans="19:44" ht="17.75" x14ac:dyDescent="0.35">
      <c r="AB31" s="3" t="s">
        <v>38</v>
      </c>
      <c r="AC31">
        <f>MOD(AC20,7)</f>
        <v>6</v>
      </c>
      <c r="AH31" s="2" t="s">
        <v>55</v>
      </c>
      <c r="AI31">
        <f>AI30+AI25</f>
        <v>123</v>
      </c>
    </row>
    <row r="32" spans="19:44" ht="17.2" x14ac:dyDescent="0.3">
      <c r="AC32" s="4" t="str">
        <f>_xlfn.SWITCH(AC31,0,"เสาร์",1,"อาทิตย์",2,"จันทร์",3,"อังคาร",4,"พุทธ",5,"พฤหัส",6,"ศุกร์",7,"เสาร์")</f>
        <v>ศุกร์</v>
      </c>
      <c r="AH32" s="14" t="s">
        <v>54</v>
      </c>
      <c r="AI32">
        <f>INT(AI31/1800)</f>
        <v>0</v>
      </c>
      <c r="AJ32">
        <f>MOD(AI31,1800)</f>
        <v>123</v>
      </c>
    </row>
    <row r="33" spans="28:35" x14ac:dyDescent="0.3">
      <c r="AI33">
        <f>INT(AJ32/60)</f>
        <v>2</v>
      </c>
    </row>
    <row r="34" spans="28:35" x14ac:dyDescent="0.3">
      <c r="AI34">
        <f>MOD(AJ32,60)</f>
        <v>3</v>
      </c>
    </row>
    <row r="35" spans="28:35" x14ac:dyDescent="0.3">
      <c r="AC35" s="4">
        <f>(AC19 - 1)*703+AC8</f>
        <v>233778</v>
      </c>
    </row>
    <row r="36" spans="28:35" ht="17.75" x14ac:dyDescent="0.35">
      <c r="AB36" s="2" t="s">
        <v>37</v>
      </c>
      <c r="AC36" s="4">
        <f>INT(T14/60*703/1440)</f>
        <v>703</v>
      </c>
    </row>
    <row r="37" spans="28:35" ht="17.75" x14ac:dyDescent="0.35">
      <c r="AB37" s="2" t="s">
        <v>39</v>
      </c>
      <c r="AC37" s="4">
        <f>AC35+AC36</f>
        <v>234481</v>
      </c>
      <c r="AI37">
        <f>IF(AND(AI9&gt;=0, AI9&lt;=5), AI6-AI31, IF(AND(AI9&gt;=6, AI9&lt;=11), AI6+AI31,"error"))</f>
        <v>19831</v>
      </c>
    </row>
    <row r="38" spans="28:35" ht="17.75" x14ac:dyDescent="0.35">
      <c r="AB38" s="2"/>
      <c r="AC38" s="4">
        <f>AC37/692</f>
        <v>338.84537572254334</v>
      </c>
      <c r="AD38">
        <f>INT(AC38)</f>
        <v>338</v>
      </c>
    </row>
    <row r="39" spans="28:35" ht="17.75" x14ac:dyDescent="0.35">
      <c r="AB39" s="2" t="s">
        <v>36</v>
      </c>
      <c r="AC39" s="4">
        <f>MOD(AC37,692)</f>
        <v>585</v>
      </c>
    </row>
    <row r="40" spans="28:35" x14ac:dyDescent="0.3">
      <c r="AC40" s="4"/>
    </row>
    <row r="41" spans="28:35" ht="17.75" x14ac:dyDescent="0.35">
      <c r="AB41" s="2"/>
      <c r="AC41" s="4">
        <f>AD38+AC13</f>
        <v>367</v>
      </c>
    </row>
    <row r="42" spans="28:35" x14ac:dyDescent="0.3">
      <c r="AC42" s="4">
        <f>AC41/30</f>
        <v>12.233333333333333</v>
      </c>
      <c r="AD42">
        <f>INT(AC42)</f>
        <v>12</v>
      </c>
    </row>
    <row r="43" spans="28:35" ht="17.75" x14ac:dyDescent="0.35">
      <c r="AB43" s="3" t="s">
        <v>40</v>
      </c>
      <c r="AC43" s="4">
        <f>MOD(AC41,30)</f>
        <v>7</v>
      </c>
    </row>
    <row r="44" spans="28:35" ht="17.2" x14ac:dyDescent="0.3">
      <c r="AB44" s="12" t="s">
        <v>41</v>
      </c>
      <c r="AC44">
        <f>AC12+AD42</f>
        <v>16944</v>
      </c>
    </row>
    <row r="50" spans="19:32" x14ac:dyDescent="0.3">
      <c r="AC50">
        <f>((AC19-1)*703+AC8)+AC36</f>
        <v>234481</v>
      </c>
    </row>
    <row r="51" spans="19:32" x14ac:dyDescent="0.3">
      <c r="AC51">
        <f>AC50/692</f>
        <v>338.84537572254334</v>
      </c>
      <c r="AD51">
        <f>INT(AC51)</f>
        <v>338</v>
      </c>
      <c r="AE51">
        <f>MOD(AC50,692)</f>
        <v>585</v>
      </c>
    </row>
    <row r="52" spans="19:32" ht="17.2" x14ac:dyDescent="0.3">
      <c r="AB52" s="11" t="s">
        <v>70</v>
      </c>
      <c r="AC52">
        <f>AE51</f>
        <v>585</v>
      </c>
    </row>
    <row r="54" spans="19:32" x14ac:dyDescent="0.3">
      <c r="AC54">
        <f>AD51+AC13</f>
        <v>367</v>
      </c>
    </row>
    <row r="55" spans="19:32" ht="17.2" x14ac:dyDescent="0.3">
      <c r="AB55" s="11" t="s">
        <v>71</v>
      </c>
      <c r="AC55">
        <f>MOD(AC54,30)</f>
        <v>7</v>
      </c>
    </row>
    <row r="59" spans="19:32" x14ac:dyDescent="0.3">
      <c r="AC59">
        <f>INT(AC52/25)+AC52</f>
        <v>608</v>
      </c>
    </row>
    <row r="60" spans="19:32" x14ac:dyDescent="0.3">
      <c r="AC60">
        <f>AC55*12</f>
        <v>84</v>
      </c>
    </row>
    <row r="61" spans="19:32" x14ac:dyDescent="0.3">
      <c r="AC61" s="4" t="s">
        <v>42</v>
      </c>
      <c r="AD61" s="4" t="s">
        <v>43</v>
      </c>
      <c r="AE61" s="4" t="s">
        <v>44</v>
      </c>
    </row>
    <row r="62" spans="19:32" x14ac:dyDescent="0.3">
      <c r="AD62">
        <f>INT(AC59/60)</f>
        <v>10</v>
      </c>
      <c r="AE62">
        <f>MOD(AC59,60)</f>
        <v>8</v>
      </c>
      <c r="AF62">
        <f>(AD62*60)+AE62</f>
        <v>608</v>
      </c>
    </row>
    <row r="63" spans="19:32" x14ac:dyDescent="0.3">
      <c r="AC63">
        <f>INT(AC60/30)</f>
        <v>2</v>
      </c>
      <c r="AD63">
        <f>MOD(AC60,30)</f>
        <v>24</v>
      </c>
      <c r="AF63">
        <f>(AC63*1800)+AD63*60</f>
        <v>5040</v>
      </c>
    </row>
    <row r="64" spans="19:32" x14ac:dyDescent="0.3">
      <c r="S64" t="e">
        <f>IF(MOD(#REF!, 400)=0, 91, IF(OR(MOD(#REF!, 4)&lt;&gt;0, MOD(#REF!, 100)=0), 90, 91))</f>
        <v>#REF!</v>
      </c>
    </row>
    <row r="65" spans="28:29" x14ac:dyDescent="0.3">
      <c r="AC65">
        <f>AF62+AF63-40+AI6</f>
        <v>25316</v>
      </c>
    </row>
    <row r="66" spans="28:29" ht="17.2" x14ac:dyDescent="0.3">
      <c r="AB66" s="16" t="s">
        <v>55</v>
      </c>
      <c r="AC66">
        <f>IF(AC65&gt;=23400,AC65-21600,AC65)</f>
        <v>3716</v>
      </c>
    </row>
    <row r="67" spans="28:29" ht="17.2" x14ac:dyDescent="0.3">
      <c r="AB67" s="11" t="s">
        <v>72</v>
      </c>
      <c r="AC67">
        <f>INT(AC66/1800)</f>
        <v>2</v>
      </c>
    </row>
    <row r="68" spans="28:29" x14ac:dyDescent="0.3">
      <c r="AC68">
        <f>INT(MOD(AC66,1800)/60)</f>
        <v>1</v>
      </c>
    </row>
    <row r="69" spans="28:29" x14ac:dyDescent="0.3">
      <c r="AC69">
        <f>MOD(MOD(AC66,1800),60)</f>
        <v>56</v>
      </c>
    </row>
    <row r="73" spans="28:29" x14ac:dyDescent="0.3">
      <c r="AC73">
        <f>AC28*3</f>
        <v>6072</v>
      </c>
    </row>
    <row r="74" spans="28:29" x14ac:dyDescent="0.3">
      <c r="AC74">
        <f>INT(AC73/808)</f>
        <v>7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4829-1923-49C6-9484-FB34B20C8E96}">
  <dimension ref="F8:J29"/>
  <sheetViews>
    <sheetView tabSelected="1" topLeftCell="A16" workbookViewId="0">
      <selection activeCell="F33" sqref="F33"/>
    </sheetView>
  </sheetViews>
  <sheetFormatPr defaultRowHeight="14.4" x14ac:dyDescent="0.3"/>
  <sheetData>
    <row r="8" spans="6:8" x14ac:dyDescent="0.3">
      <c r="F8">
        <f>Sheet1!T5 - 610</f>
        <v>759</v>
      </c>
      <c r="G8">
        <v>12</v>
      </c>
    </row>
    <row r="9" spans="6:8" x14ac:dyDescent="0.3">
      <c r="F9">
        <f>F8*G8</f>
        <v>9108</v>
      </c>
      <c r="G9">
        <f>Sheet1!AS14</f>
        <v>10</v>
      </c>
    </row>
    <row r="10" spans="6:8" x14ac:dyDescent="0.3">
      <c r="F10">
        <f>F9+G9</f>
        <v>9118</v>
      </c>
      <c r="G10">
        <v>30</v>
      </c>
    </row>
    <row r="11" spans="6:8" x14ac:dyDescent="0.3">
      <c r="F11">
        <f>F10*G10</f>
        <v>273540</v>
      </c>
      <c r="G11">
        <f>Sheet1!AS15</f>
        <v>28</v>
      </c>
    </row>
    <row r="12" spans="6:8" x14ac:dyDescent="0.3">
      <c r="F12">
        <f>F11+G11</f>
        <v>273568</v>
      </c>
      <c r="G12">
        <v>60</v>
      </c>
    </row>
    <row r="13" spans="6:8" x14ac:dyDescent="0.3">
      <c r="F13">
        <f>F12*G12</f>
        <v>16414080</v>
      </c>
      <c r="G13">
        <f>Sheet1!AS16</f>
        <v>5</v>
      </c>
      <c r="H13">
        <f>F13+G13</f>
        <v>16414085</v>
      </c>
    </row>
    <row r="16" spans="6:8" ht="17.75" x14ac:dyDescent="0.35">
      <c r="F16" s="3" t="s">
        <v>69</v>
      </c>
    </row>
    <row r="17" spans="6:10" x14ac:dyDescent="0.3">
      <c r="F17">
        <f>H13</f>
        <v>16414085</v>
      </c>
      <c r="G17">
        <v>20</v>
      </c>
      <c r="H17">
        <f>INT(F17/G17)</f>
        <v>820704</v>
      </c>
    </row>
    <row r="18" spans="6:10" ht="17.75" x14ac:dyDescent="0.35">
      <c r="F18">
        <f>H13</f>
        <v>16414085</v>
      </c>
      <c r="G18">
        <v>265</v>
      </c>
      <c r="H18">
        <f>INT(F18/G18)</f>
        <v>61939</v>
      </c>
      <c r="J18" s="1" t="s">
        <v>67</v>
      </c>
    </row>
    <row r="19" spans="6:10" x14ac:dyDescent="0.3">
      <c r="F19">
        <f>H17+H18</f>
        <v>882643</v>
      </c>
      <c r="G19">
        <v>60</v>
      </c>
      <c r="J19">
        <f>MOD(F21,G21)</f>
        <v>10</v>
      </c>
    </row>
    <row r="20" spans="6:10" x14ac:dyDescent="0.3">
      <c r="F20">
        <f>INT(F19/G19)</f>
        <v>14710</v>
      </c>
      <c r="G20">
        <v>30</v>
      </c>
      <c r="J20">
        <f>MOD(F20,G20)</f>
        <v>10</v>
      </c>
    </row>
    <row r="21" spans="6:10" x14ac:dyDescent="0.3">
      <c r="F21">
        <f>INT(F20/G20)</f>
        <v>490</v>
      </c>
      <c r="G21">
        <v>12</v>
      </c>
      <c r="J21">
        <f>MOD(F19,G19)</f>
        <v>43</v>
      </c>
    </row>
    <row r="25" spans="6:10" ht="17.75" x14ac:dyDescent="0.35">
      <c r="J25" s="1" t="s">
        <v>68</v>
      </c>
    </row>
    <row r="26" spans="6:10" x14ac:dyDescent="0.3">
      <c r="F26" t="s">
        <v>42</v>
      </c>
      <c r="G26">
        <v>8</v>
      </c>
      <c r="H26">
        <f>J19</f>
        <v>10</v>
      </c>
      <c r="I26">
        <f>INT((G29-H29)/1800)</f>
        <v>-2</v>
      </c>
      <c r="J26">
        <f>IF(G29-H29&gt;=0,INT((G29-H29)/1800),INT((G29-H29)/1800)+12)</f>
        <v>10</v>
      </c>
    </row>
    <row r="27" spans="6:10" x14ac:dyDescent="0.3">
      <c r="F27" t="s">
        <v>43</v>
      </c>
      <c r="G27">
        <v>12</v>
      </c>
      <c r="H27">
        <f>J20</f>
        <v>10</v>
      </c>
      <c r="I27">
        <f>INT(MOD((G29-H29),1800)/60)</f>
        <v>1</v>
      </c>
      <c r="J27">
        <f>INT(MOD((G29-H29),1800)/60)</f>
        <v>1</v>
      </c>
    </row>
    <row r="28" spans="6:10" x14ac:dyDescent="0.3">
      <c r="F28" t="s">
        <v>44</v>
      </c>
      <c r="G28">
        <v>30</v>
      </c>
      <c r="H28">
        <f>J21</f>
        <v>43</v>
      </c>
      <c r="I28">
        <f>MOD(MOD((G29-H29),1800),60)</f>
        <v>47</v>
      </c>
      <c r="J28">
        <f>MOD(MOD((G29-H29),1800),60)</f>
        <v>47</v>
      </c>
    </row>
    <row r="29" spans="6:10" x14ac:dyDescent="0.3">
      <c r="F29" t="s">
        <v>46</v>
      </c>
      <c r="G29">
        <f>(G26*1800)+(G27*60)+G28</f>
        <v>15150</v>
      </c>
      <c r="H29">
        <f>(H26*1800)+(H27*60)+H28</f>
        <v>18643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0455-7106-47DE-85A8-3D2A4ED6091B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D792-42EF-48A2-A8C8-CF70D27E3451}">
  <dimension ref="H6:R177"/>
  <sheetViews>
    <sheetView topLeftCell="F1" workbookViewId="0">
      <selection activeCell="N15" sqref="N15"/>
    </sheetView>
  </sheetViews>
  <sheetFormatPr defaultRowHeight="14.4" x14ac:dyDescent="0.3"/>
  <sheetData>
    <row r="6" spans="8:18" x14ac:dyDescent="0.3">
      <c r="H6" t="s">
        <v>57</v>
      </c>
      <c r="I6">
        <v>1345</v>
      </c>
    </row>
    <row r="9" spans="8:18" ht="23.85" x14ac:dyDescent="0.5">
      <c r="H9" s="15">
        <v>1</v>
      </c>
    </row>
    <row r="10" spans="8:18" x14ac:dyDescent="0.3">
      <c r="H10">
        <v>365258</v>
      </c>
      <c r="J10">
        <v>600</v>
      </c>
      <c r="N10" t="s">
        <v>42</v>
      </c>
      <c r="O10">
        <v>7</v>
      </c>
      <c r="P10">
        <v>0</v>
      </c>
      <c r="R10">
        <f>INT((O13-P13)/1800)</f>
        <v>6</v>
      </c>
    </row>
    <row r="11" spans="8:18" x14ac:dyDescent="0.3">
      <c r="H11">
        <v>109577</v>
      </c>
      <c r="J11">
        <v>500</v>
      </c>
      <c r="N11" t="s">
        <v>43</v>
      </c>
      <c r="O11">
        <v>10</v>
      </c>
      <c r="P11">
        <v>11</v>
      </c>
      <c r="R11">
        <f>INT(MOD((O13-P13),1800)/60)</f>
        <v>29</v>
      </c>
    </row>
    <row r="12" spans="8:18" x14ac:dyDescent="0.3">
      <c r="H12">
        <v>16436</v>
      </c>
      <c r="J12">
        <v>515</v>
      </c>
      <c r="N12" t="s">
        <v>44</v>
      </c>
      <c r="O12">
        <v>33</v>
      </c>
      <c r="P12">
        <v>31</v>
      </c>
      <c r="R12">
        <f>MOD(MOD((O13-P13),1800),60)</f>
        <v>2</v>
      </c>
    </row>
    <row r="13" spans="8:18" x14ac:dyDescent="0.3">
      <c r="J13">
        <v>373</v>
      </c>
      <c r="N13" t="s">
        <v>46</v>
      </c>
      <c r="O13">
        <f>(O10*1800)+(O11*60)+O12</f>
        <v>13233</v>
      </c>
      <c r="P13">
        <f>(P10*1800)+(P11*60)+P12</f>
        <v>691</v>
      </c>
    </row>
    <row r="14" spans="8:18" x14ac:dyDescent="0.3">
      <c r="H14">
        <f>SUM(H10:H12)</f>
        <v>491271</v>
      </c>
      <c r="J14">
        <f>SUM(J10:J13)</f>
        <v>1988</v>
      </c>
    </row>
    <row r="16" spans="8:18" x14ac:dyDescent="0.3">
      <c r="J16">
        <f>J14/800</f>
        <v>2.4849999999999999</v>
      </c>
    </row>
    <row r="18" spans="8:17" x14ac:dyDescent="0.3">
      <c r="J18">
        <f>MOD(J14,800)</f>
        <v>388</v>
      </c>
    </row>
    <row r="20" spans="8:17" x14ac:dyDescent="0.3">
      <c r="J20">
        <f>800-J18</f>
        <v>412</v>
      </c>
    </row>
    <row r="21" spans="8:17" x14ac:dyDescent="0.3">
      <c r="N21">
        <v>192</v>
      </c>
      <c r="O21">
        <v>30</v>
      </c>
      <c r="P21">
        <f>INT(N21/O21)</f>
        <v>6</v>
      </c>
      <c r="Q21">
        <f>MOD(N21,O21)</f>
        <v>12</v>
      </c>
    </row>
    <row r="24" spans="8:17" ht="23.85" x14ac:dyDescent="0.5">
      <c r="H24" s="15">
        <v>2</v>
      </c>
    </row>
    <row r="25" spans="8:17" x14ac:dyDescent="0.3">
      <c r="H25">
        <f>1345*207</f>
        <v>278415</v>
      </c>
      <c r="I25">
        <v>800</v>
      </c>
      <c r="K25">
        <f>INT(H25/I25)</f>
        <v>348</v>
      </c>
      <c r="L25">
        <f>MOD(H25,I25)</f>
        <v>15</v>
      </c>
    </row>
    <row r="27" spans="8:17" x14ac:dyDescent="0.3">
      <c r="H27">
        <v>347</v>
      </c>
      <c r="J27">
        <f>H27+H28-H29-H30-5</f>
        <v>16</v>
      </c>
    </row>
    <row r="28" spans="8:17" x14ac:dyDescent="0.3">
      <c r="H28">
        <f>INT((I6+38)/100)</f>
        <v>13</v>
      </c>
    </row>
    <row r="29" spans="8:17" x14ac:dyDescent="0.3">
      <c r="H29">
        <f>INT((I6*25+50)/100)</f>
        <v>336</v>
      </c>
    </row>
    <row r="30" spans="8:17" x14ac:dyDescent="0.3">
      <c r="H30">
        <f>INT((I6*25+5950)/10000)</f>
        <v>3</v>
      </c>
    </row>
    <row r="32" spans="8:17" x14ac:dyDescent="0.3">
      <c r="H32" t="s">
        <v>58</v>
      </c>
    </row>
    <row r="33" spans="8:11" x14ac:dyDescent="0.3">
      <c r="H33">
        <v>13545</v>
      </c>
      <c r="I33">
        <v>8</v>
      </c>
      <c r="J33">
        <v>264</v>
      </c>
    </row>
    <row r="34" spans="8:11" x14ac:dyDescent="0.3">
      <c r="H34">
        <v>3047</v>
      </c>
      <c r="I34">
        <v>20</v>
      </c>
      <c r="J34">
        <v>440</v>
      </c>
    </row>
    <row r="35" spans="8:11" x14ac:dyDescent="0.3">
      <c r="H35">
        <v>33</v>
      </c>
      <c r="I35">
        <v>25</v>
      </c>
      <c r="J35">
        <v>620</v>
      </c>
    </row>
    <row r="36" spans="8:11" x14ac:dyDescent="0.3">
      <c r="H36">
        <v>6</v>
      </c>
      <c r="I36">
        <v>23</v>
      </c>
      <c r="J36">
        <v>124</v>
      </c>
    </row>
    <row r="37" spans="8:11" x14ac:dyDescent="0.3">
      <c r="H37">
        <v>2</v>
      </c>
      <c r="I37">
        <v>15</v>
      </c>
      <c r="J37">
        <v>122</v>
      </c>
    </row>
    <row r="38" spans="8:11" x14ac:dyDescent="0.3">
      <c r="J38">
        <v>650</v>
      </c>
    </row>
    <row r="39" spans="8:11" x14ac:dyDescent="0.3">
      <c r="H39">
        <f>SUM(H33:H37)</f>
        <v>16633</v>
      </c>
      <c r="I39">
        <f t="shared" ref="I39" si="0">SUM(I33:I37)</f>
        <v>91</v>
      </c>
      <c r="J39">
        <f>SUM(J33:J38)</f>
        <v>2220</v>
      </c>
    </row>
    <row r="40" spans="8:11" x14ac:dyDescent="0.3">
      <c r="J40">
        <v>692</v>
      </c>
    </row>
    <row r="41" spans="8:11" x14ac:dyDescent="0.3">
      <c r="J41">
        <f>J39/J40</f>
        <v>3.2080924855491331</v>
      </c>
    </row>
    <row r="43" spans="8:11" x14ac:dyDescent="0.3">
      <c r="J43">
        <f>MOD(J39,J40)</f>
        <v>144</v>
      </c>
    </row>
    <row r="46" spans="8:11" ht="23.85" x14ac:dyDescent="0.5">
      <c r="H46" s="15">
        <v>3</v>
      </c>
    </row>
    <row r="47" spans="8:11" x14ac:dyDescent="0.3">
      <c r="H47">
        <v>491274</v>
      </c>
      <c r="I47">
        <v>621</v>
      </c>
      <c r="J47">
        <f>H47-I47</f>
        <v>490653</v>
      </c>
      <c r="K47">
        <f>MOD(J47,3232)</f>
        <v>2621</v>
      </c>
    </row>
    <row r="49" spans="8:12" x14ac:dyDescent="0.3">
      <c r="H49">
        <f>MOD(H47,7)</f>
        <v>0</v>
      </c>
    </row>
    <row r="51" spans="8:12" x14ac:dyDescent="0.3">
      <c r="H51">
        <f>H47+286</f>
        <v>491560</v>
      </c>
    </row>
    <row r="52" spans="8:12" x14ac:dyDescent="0.3">
      <c r="H52">
        <f>285*800</f>
        <v>228000</v>
      </c>
      <c r="I52">
        <v>412</v>
      </c>
      <c r="J52">
        <v>317</v>
      </c>
      <c r="L52">
        <f>SUM(H52:J52)</f>
        <v>228729</v>
      </c>
    </row>
    <row r="56" spans="8:12" ht="23.85" x14ac:dyDescent="0.5">
      <c r="H56" s="15">
        <v>4</v>
      </c>
    </row>
    <row r="58" spans="8:12" x14ac:dyDescent="0.3">
      <c r="H58">
        <v>16636</v>
      </c>
      <c r="I58">
        <v>4</v>
      </c>
      <c r="J58">
        <v>144</v>
      </c>
    </row>
    <row r="59" spans="8:12" x14ac:dyDescent="0.3">
      <c r="H59">
        <v>6</v>
      </c>
      <c r="I59">
        <v>23</v>
      </c>
      <c r="J59">
        <v>124</v>
      </c>
    </row>
    <row r="60" spans="8:12" x14ac:dyDescent="0.3">
      <c r="H60">
        <v>2</v>
      </c>
      <c r="I60">
        <v>26</v>
      </c>
      <c r="J60">
        <v>243</v>
      </c>
    </row>
    <row r="61" spans="8:12" x14ac:dyDescent="0.3">
      <c r="J61">
        <v>278</v>
      </c>
    </row>
    <row r="62" spans="8:12" x14ac:dyDescent="0.3">
      <c r="H62">
        <f>SUM(H58:H61)</f>
        <v>16644</v>
      </c>
      <c r="I62">
        <f t="shared" ref="I62:J62" si="1">SUM(I58:I61)</f>
        <v>53</v>
      </c>
      <c r="J62">
        <f t="shared" si="1"/>
        <v>789</v>
      </c>
    </row>
    <row r="65" spans="8:11" x14ac:dyDescent="0.3">
      <c r="H65">
        <v>491560</v>
      </c>
      <c r="I65">
        <v>7</v>
      </c>
      <c r="J65">
        <f>MOD(H65,I65)</f>
        <v>6</v>
      </c>
    </row>
    <row r="69" spans="8:11" ht="23.85" x14ac:dyDescent="0.5">
      <c r="H69" s="15">
        <v>5</v>
      </c>
    </row>
    <row r="71" spans="8:11" x14ac:dyDescent="0.3">
      <c r="H71">
        <v>228729</v>
      </c>
      <c r="I71">
        <v>24350</v>
      </c>
      <c r="J71">
        <f>INT(H71/I71)</f>
        <v>9</v>
      </c>
      <c r="K71">
        <f>MOD(H71,I71)</f>
        <v>9579</v>
      </c>
    </row>
    <row r="75" spans="8:11" ht="23.85" x14ac:dyDescent="0.5">
      <c r="H75" s="15">
        <v>6</v>
      </c>
    </row>
    <row r="78" spans="8:11" x14ac:dyDescent="0.3">
      <c r="H78">
        <v>7</v>
      </c>
      <c r="I78">
        <v>12</v>
      </c>
      <c r="J78">
        <v>46</v>
      </c>
      <c r="K78">
        <v>34</v>
      </c>
    </row>
    <row r="79" spans="8:11" x14ac:dyDescent="0.3">
      <c r="H79">
        <v>3</v>
      </c>
      <c r="I79">
        <v>10</v>
      </c>
      <c r="J79">
        <v>14</v>
      </c>
      <c r="K79">
        <v>86</v>
      </c>
    </row>
    <row r="80" spans="8:11" x14ac:dyDescent="0.3">
      <c r="J80">
        <v>40</v>
      </c>
      <c r="K80">
        <v>10</v>
      </c>
    </row>
    <row r="81" spans="8:12" x14ac:dyDescent="0.3">
      <c r="J81">
        <v>2</v>
      </c>
      <c r="K81">
        <v>65</v>
      </c>
    </row>
    <row r="82" spans="8:12" x14ac:dyDescent="0.3">
      <c r="H82">
        <f>SUM(H78:H81)</f>
        <v>10</v>
      </c>
      <c r="I82">
        <f t="shared" ref="I82:K82" si="2">SUM(I78:I81)</f>
        <v>22</v>
      </c>
      <c r="J82">
        <f t="shared" si="2"/>
        <v>102</v>
      </c>
      <c r="K82">
        <f t="shared" si="2"/>
        <v>195</v>
      </c>
    </row>
    <row r="86" spans="8:12" ht="23.85" x14ac:dyDescent="0.5">
      <c r="H86" s="15">
        <v>8</v>
      </c>
    </row>
    <row r="89" spans="8:12" x14ac:dyDescent="0.3">
      <c r="H89">
        <v>17560</v>
      </c>
      <c r="I89">
        <v>720</v>
      </c>
      <c r="J89">
        <f>INT(H89/I89)</f>
        <v>24</v>
      </c>
      <c r="K89">
        <f>MOD(H89,I89)</f>
        <v>280</v>
      </c>
    </row>
    <row r="90" spans="8:12" x14ac:dyDescent="0.3">
      <c r="H90">
        <v>491215</v>
      </c>
      <c r="I90">
        <v>679</v>
      </c>
      <c r="J90">
        <f>MOD(H90,I90)</f>
        <v>298</v>
      </c>
    </row>
    <row r="94" spans="8:12" ht="23.85" x14ac:dyDescent="0.5">
      <c r="H94" s="15" t="s">
        <v>59</v>
      </c>
    </row>
    <row r="95" spans="8:12" x14ac:dyDescent="0.3">
      <c r="H95">
        <v>9</v>
      </c>
      <c r="I95">
        <v>8</v>
      </c>
      <c r="J95">
        <v>29</v>
      </c>
      <c r="L95">
        <v>115</v>
      </c>
    </row>
    <row r="96" spans="8:12" x14ac:dyDescent="0.3">
      <c r="H96">
        <v>1</v>
      </c>
      <c r="I96">
        <v>17</v>
      </c>
      <c r="J96">
        <v>32</v>
      </c>
      <c r="L96">
        <v>220</v>
      </c>
    </row>
    <row r="97" spans="8:12" x14ac:dyDescent="0.3">
      <c r="H97">
        <v>5</v>
      </c>
      <c r="I97">
        <v>1</v>
      </c>
      <c r="J97">
        <v>7</v>
      </c>
      <c r="L97">
        <v>245</v>
      </c>
    </row>
    <row r="98" spans="8:12" x14ac:dyDescent="0.3">
      <c r="H98">
        <v>2</v>
      </c>
      <c r="I98">
        <v>11</v>
      </c>
      <c r="J98">
        <v>19</v>
      </c>
      <c r="L98">
        <v>65</v>
      </c>
    </row>
    <row r="99" spans="8:12" x14ac:dyDescent="0.3">
      <c r="I99">
        <v>14</v>
      </c>
      <c r="J99">
        <v>31</v>
      </c>
      <c r="L99">
        <v>35</v>
      </c>
    </row>
    <row r="100" spans="8:12" x14ac:dyDescent="0.3">
      <c r="J100">
        <v>35</v>
      </c>
      <c r="L100">
        <v>130</v>
      </c>
    </row>
    <row r="101" spans="8:12" x14ac:dyDescent="0.3">
      <c r="J101">
        <v>1</v>
      </c>
      <c r="K101">
        <v>1</v>
      </c>
      <c r="L101">
        <v>21</v>
      </c>
    </row>
    <row r="102" spans="8:12" x14ac:dyDescent="0.3">
      <c r="H102">
        <f>SUM(H95:H101)</f>
        <v>17</v>
      </c>
      <c r="I102">
        <f t="shared" ref="I102:L102" si="3">SUM(I95:I101)</f>
        <v>51</v>
      </c>
      <c r="J102">
        <f t="shared" si="3"/>
        <v>154</v>
      </c>
      <c r="K102">
        <f t="shared" si="3"/>
        <v>1</v>
      </c>
      <c r="L102">
        <f t="shared" si="3"/>
        <v>831</v>
      </c>
    </row>
    <row r="104" spans="8:12" x14ac:dyDescent="0.3">
      <c r="H104">
        <v>157</v>
      </c>
      <c r="I104">
        <v>60</v>
      </c>
      <c r="J104">
        <f>INT(H104/I104)</f>
        <v>2</v>
      </c>
      <c r="K104">
        <f>MOD(H104,I104)</f>
        <v>37</v>
      </c>
    </row>
    <row r="105" spans="8:12" x14ac:dyDescent="0.3">
      <c r="H105">
        <v>53</v>
      </c>
      <c r="I105">
        <v>30</v>
      </c>
      <c r="J105">
        <f>INT(H105/I105)</f>
        <v>1</v>
      </c>
      <c r="K105">
        <f>MOD(H105,I105)</f>
        <v>23</v>
      </c>
    </row>
    <row r="108" spans="8:12" ht="23.85" x14ac:dyDescent="0.5">
      <c r="H108" s="15" t="s">
        <v>60</v>
      </c>
    </row>
    <row r="109" spans="8:12" x14ac:dyDescent="0.3">
      <c r="H109">
        <v>8</v>
      </c>
      <c r="I109">
        <v>5</v>
      </c>
      <c r="J109">
        <v>56</v>
      </c>
      <c r="L109">
        <v>220</v>
      </c>
    </row>
    <row r="110" spans="8:12" x14ac:dyDescent="0.3">
      <c r="H110">
        <v>6</v>
      </c>
      <c r="I110">
        <v>1</v>
      </c>
      <c r="J110">
        <v>46</v>
      </c>
      <c r="L110">
        <v>470</v>
      </c>
    </row>
    <row r="111" spans="8:12" x14ac:dyDescent="0.3">
      <c r="H111">
        <v>11</v>
      </c>
      <c r="I111">
        <v>3</v>
      </c>
      <c r="J111">
        <v>16</v>
      </c>
      <c r="L111">
        <v>20</v>
      </c>
    </row>
    <row r="112" spans="8:12" x14ac:dyDescent="0.3">
      <c r="H112">
        <v>11</v>
      </c>
      <c r="I112">
        <v>2</v>
      </c>
      <c r="J112">
        <v>42</v>
      </c>
      <c r="L112">
        <v>290</v>
      </c>
    </row>
    <row r="113" spans="8:12" x14ac:dyDescent="0.3">
      <c r="H113">
        <v>4</v>
      </c>
      <c r="I113">
        <v>23</v>
      </c>
      <c r="J113">
        <v>33</v>
      </c>
      <c r="L113">
        <v>135</v>
      </c>
    </row>
    <row r="114" spans="8:12" x14ac:dyDescent="0.3">
      <c r="I114">
        <v>5</v>
      </c>
      <c r="J114">
        <v>50</v>
      </c>
      <c r="L114">
        <v>460</v>
      </c>
    </row>
    <row r="115" spans="8:12" x14ac:dyDescent="0.3">
      <c r="J115">
        <v>10</v>
      </c>
      <c r="K115">
        <v>1</v>
      </c>
      <c r="L115">
        <v>336</v>
      </c>
    </row>
    <row r="116" spans="8:12" x14ac:dyDescent="0.3">
      <c r="H116">
        <f>SUM(H109:H115)</f>
        <v>40</v>
      </c>
      <c r="I116">
        <f t="shared" ref="I116" si="4">SUM(I109:I115)</f>
        <v>39</v>
      </c>
      <c r="J116">
        <f t="shared" ref="J116" si="5">SUM(J109:J115)</f>
        <v>253</v>
      </c>
      <c r="K116">
        <f t="shared" ref="K116" si="6">SUM(K109:K115)</f>
        <v>1</v>
      </c>
      <c r="L116">
        <f t="shared" ref="L116" si="7">SUM(L109:L115)</f>
        <v>1931</v>
      </c>
    </row>
    <row r="119" spans="8:12" ht="23.85" x14ac:dyDescent="0.5">
      <c r="H119" s="15" t="s">
        <v>61</v>
      </c>
    </row>
    <row r="120" spans="8:12" x14ac:dyDescent="0.3">
      <c r="H120">
        <v>2</v>
      </c>
      <c r="I120">
        <v>2</v>
      </c>
      <c r="J120">
        <v>36</v>
      </c>
      <c r="L120">
        <v>24</v>
      </c>
    </row>
    <row r="121" spans="8:12" x14ac:dyDescent="0.3">
      <c r="H121">
        <v>7</v>
      </c>
      <c r="I121">
        <v>24</v>
      </c>
      <c r="J121">
        <v>46</v>
      </c>
      <c r="L121">
        <v>44</v>
      </c>
    </row>
    <row r="122" spans="8:12" x14ac:dyDescent="0.3">
      <c r="H122">
        <v>10</v>
      </c>
      <c r="I122">
        <v>5</v>
      </c>
      <c r="J122">
        <v>13</v>
      </c>
      <c r="L122">
        <v>2</v>
      </c>
    </row>
    <row r="123" spans="8:12" x14ac:dyDescent="0.3">
      <c r="H123">
        <v>7</v>
      </c>
      <c r="I123">
        <v>29</v>
      </c>
      <c r="J123">
        <v>58</v>
      </c>
      <c r="L123">
        <v>24</v>
      </c>
    </row>
    <row r="124" spans="8:12" x14ac:dyDescent="0.3">
      <c r="H124">
        <v>1</v>
      </c>
      <c r="I124">
        <v>11</v>
      </c>
      <c r="J124">
        <v>5</v>
      </c>
      <c r="L124">
        <v>10</v>
      </c>
    </row>
    <row r="125" spans="8:12" x14ac:dyDescent="0.3">
      <c r="H125">
        <v>1</v>
      </c>
      <c r="I125">
        <v>15</v>
      </c>
      <c r="J125">
        <v>40</v>
      </c>
      <c r="L125">
        <v>20</v>
      </c>
    </row>
    <row r="126" spans="8:12" x14ac:dyDescent="0.3">
      <c r="I126">
        <v>1</v>
      </c>
      <c r="J126">
        <v>27</v>
      </c>
      <c r="L126">
        <v>9</v>
      </c>
    </row>
    <row r="127" spans="8:12" x14ac:dyDescent="0.3">
      <c r="H127">
        <f>SUM(H120:H126)</f>
        <v>28</v>
      </c>
      <c r="I127">
        <f t="shared" ref="I127" si="8">SUM(I120:I126)</f>
        <v>87</v>
      </c>
      <c r="J127">
        <f t="shared" ref="J127" si="9">SUM(J120:J126)</f>
        <v>225</v>
      </c>
      <c r="K127">
        <f t="shared" ref="K127" si="10">SUM(K120:K126)</f>
        <v>0</v>
      </c>
      <c r="L127">
        <f t="shared" ref="L127" si="11">SUM(L120:L126)</f>
        <v>133</v>
      </c>
    </row>
    <row r="129" spans="8:12" x14ac:dyDescent="0.3">
      <c r="H129">
        <v>41</v>
      </c>
      <c r="I129">
        <v>12</v>
      </c>
      <c r="J129">
        <f>INT(H129/I129)</f>
        <v>3</v>
      </c>
      <c r="K129">
        <f>MOD(H129,I129)</f>
        <v>5</v>
      </c>
    </row>
    <row r="132" spans="8:12" ht="23.85" x14ac:dyDescent="0.5">
      <c r="H132" s="15" t="s">
        <v>62</v>
      </c>
    </row>
    <row r="133" spans="8:12" x14ac:dyDescent="0.3">
      <c r="H133">
        <v>3</v>
      </c>
      <c r="I133">
        <v>18</v>
      </c>
      <c r="J133">
        <v>50</v>
      </c>
      <c r="L133">
        <v>240</v>
      </c>
    </row>
    <row r="134" spans="8:12" x14ac:dyDescent="0.3">
      <c r="H134">
        <v>3</v>
      </c>
      <c r="I134">
        <v>14</v>
      </c>
      <c r="J134">
        <v>39</v>
      </c>
      <c r="L134">
        <v>72</v>
      </c>
    </row>
    <row r="135" spans="8:12" x14ac:dyDescent="0.3">
      <c r="H135">
        <v>9</v>
      </c>
      <c r="I135">
        <v>15</v>
      </c>
      <c r="J135">
        <v>41</v>
      </c>
      <c r="L135">
        <v>888</v>
      </c>
    </row>
    <row r="136" spans="8:12" x14ac:dyDescent="0.3">
      <c r="H136">
        <v>2</v>
      </c>
      <c r="I136">
        <v>25</v>
      </c>
      <c r="J136">
        <v>29</v>
      </c>
      <c r="L136">
        <v>576</v>
      </c>
    </row>
    <row r="137" spans="8:12" x14ac:dyDescent="0.3">
      <c r="I137">
        <v>22</v>
      </c>
      <c r="J137">
        <v>45</v>
      </c>
      <c r="L137">
        <v>720</v>
      </c>
    </row>
    <row r="138" spans="8:12" x14ac:dyDescent="0.3">
      <c r="J138">
        <v>55</v>
      </c>
      <c r="L138">
        <v>660</v>
      </c>
    </row>
    <row r="139" spans="8:12" x14ac:dyDescent="0.3">
      <c r="J139">
        <v>1</v>
      </c>
      <c r="K139">
        <v>9</v>
      </c>
      <c r="L139">
        <v>21</v>
      </c>
    </row>
    <row r="140" spans="8:12" x14ac:dyDescent="0.3">
      <c r="H140">
        <f>SUM(H133:H139)</f>
        <v>17</v>
      </c>
      <c r="I140">
        <f t="shared" ref="I140" si="12">SUM(I133:I139)</f>
        <v>94</v>
      </c>
      <c r="J140">
        <f t="shared" ref="J140" si="13">SUM(J133:J139)</f>
        <v>260</v>
      </c>
      <c r="K140">
        <f t="shared" ref="K140" si="14">SUM(K133:K139)</f>
        <v>9</v>
      </c>
      <c r="L140">
        <f t="shared" ref="L140" si="15">SUM(L133:L139)</f>
        <v>3177</v>
      </c>
    </row>
    <row r="142" spans="8:12" x14ac:dyDescent="0.3">
      <c r="H142">
        <v>98</v>
      </c>
      <c r="I142">
        <v>30</v>
      </c>
      <c r="J142">
        <f>INT(H142/I142)</f>
        <v>3</v>
      </c>
      <c r="K142">
        <f>MOD(H142,I142)</f>
        <v>8</v>
      </c>
    </row>
    <row r="145" spans="8:12" ht="23.85" x14ac:dyDescent="0.5">
      <c r="H145" s="15" t="s">
        <v>63</v>
      </c>
    </row>
    <row r="146" spans="8:12" x14ac:dyDescent="0.3">
      <c r="H146">
        <v>6</v>
      </c>
      <c r="I146">
        <v>5</v>
      </c>
      <c r="J146">
        <v>12</v>
      </c>
      <c r="L146">
        <v>216</v>
      </c>
    </row>
    <row r="147" spans="8:12" x14ac:dyDescent="0.3">
      <c r="H147">
        <v>7</v>
      </c>
      <c r="I147">
        <v>25</v>
      </c>
      <c r="J147">
        <v>34</v>
      </c>
      <c r="L147">
        <v>162</v>
      </c>
    </row>
    <row r="148" spans="8:12" x14ac:dyDescent="0.3">
      <c r="H148">
        <v>1</v>
      </c>
      <c r="I148">
        <v>23</v>
      </c>
      <c r="J148">
        <v>20</v>
      </c>
      <c r="L148">
        <v>0</v>
      </c>
    </row>
    <row r="149" spans="8:12" x14ac:dyDescent="0.3">
      <c r="H149">
        <v>11</v>
      </c>
      <c r="I149">
        <v>9</v>
      </c>
      <c r="J149">
        <v>26</v>
      </c>
      <c r="L149">
        <v>-54</v>
      </c>
    </row>
    <row r="150" spans="8:12" x14ac:dyDescent="0.3">
      <c r="H150">
        <v>2</v>
      </c>
      <c r="I150">
        <v>18</v>
      </c>
      <c r="J150">
        <v>54</v>
      </c>
      <c r="L150">
        <v>162</v>
      </c>
    </row>
    <row r="151" spans="8:12" x14ac:dyDescent="0.3">
      <c r="I151">
        <v>17</v>
      </c>
      <c r="J151">
        <v>53</v>
      </c>
      <c r="L151">
        <v>39</v>
      </c>
    </row>
    <row r="152" spans="8:12" x14ac:dyDescent="0.3">
      <c r="J152">
        <v>35</v>
      </c>
      <c r="L152">
        <v>210</v>
      </c>
    </row>
    <row r="153" spans="8:12" x14ac:dyDescent="0.3">
      <c r="H153">
        <f>SUM(H146:H152)</f>
        <v>27</v>
      </c>
      <c r="I153">
        <f t="shared" ref="I153" si="16">SUM(I146:I152)</f>
        <v>97</v>
      </c>
      <c r="J153">
        <f t="shared" ref="J153" si="17">SUM(J146:J152)</f>
        <v>234</v>
      </c>
      <c r="K153">
        <f t="shared" ref="K153" si="18">SUM(K146:K152)</f>
        <v>0</v>
      </c>
      <c r="L153">
        <f t="shared" ref="L153" si="19">SUM(L146:L152)</f>
        <v>735</v>
      </c>
    </row>
    <row r="155" spans="8:12" x14ac:dyDescent="0.3">
      <c r="H155">
        <v>19</v>
      </c>
      <c r="I155">
        <v>12</v>
      </c>
      <c r="J155">
        <f>INT(H155/I155)</f>
        <v>1</v>
      </c>
      <c r="K155">
        <f>MOD(H155,I155)</f>
        <v>7</v>
      </c>
    </row>
    <row r="158" spans="8:12" ht="23.85" x14ac:dyDescent="0.5">
      <c r="H158" s="15" t="s">
        <v>64</v>
      </c>
    </row>
    <row r="159" spans="8:12" x14ac:dyDescent="0.3">
      <c r="H159">
        <v>11</v>
      </c>
      <c r="I159">
        <v>6</v>
      </c>
      <c r="J159">
        <v>0</v>
      </c>
    </row>
    <row r="160" spans="8:12" x14ac:dyDescent="0.3">
      <c r="H160">
        <v>2</v>
      </c>
      <c r="I160">
        <v>4</v>
      </c>
      <c r="J160">
        <v>48</v>
      </c>
    </row>
    <row r="161" spans="8:12" x14ac:dyDescent="0.3">
      <c r="H161">
        <v>6</v>
      </c>
      <c r="I161">
        <v>9</v>
      </c>
      <c r="J161">
        <v>43</v>
      </c>
      <c r="L161">
        <v>2000</v>
      </c>
    </row>
    <row r="162" spans="8:12" x14ac:dyDescent="0.3">
      <c r="H162">
        <v>10</v>
      </c>
      <c r="I162">
        <v>7</v>
      </c>
      <c r="J162">
        <v>18</v>
      </c>
      <c r="L162">
        <v>4000</v>
      </c>
    </row>
    <row r="163" spans="8:12" x14ac:dyDescent="0.3">
      <c r="I163">
        <v>9</v>
      </c>
      <c r="J163">
        <v>9</v>
      </c>
      <c r="L163">
        <v>7200</v>
      </c>
    </row>
    <row r="164" spans="8:12" x14ac:dyDescent="0.3">
      <c r="J164">
        <v>22</v>
      </c>
      <c r="L164">
        <v>3960</v>
      </c>
    </row>
    <row r="165" spans="8:12" x14ac:dyDescent="0.3">
      <c r="K165">
        <v>21</v>
      </c>
      <c r="L165">
        <v>126</v>
      </c>
    </row>
    <row r="166" spans="8:12" x14ac:dyDescent="0.3">
      <c r="H166">
        <f>SUM(H159:H165)</f>
        <v>29</v>
      </c>
      <c r="I166">
        <f t="shared" ref="I166" si="20">SUM(I159:I165)</f>
        <v>35</v>
      </c>
      <c r="J166">
        <f t="shared" ref="J166" si="21">SUM(J159:J165)</f>
        <v>140</v>
      </c>
      <c r="K166">
        <f t="shared" ref="K166" si="22">SUM(K159:K165)</f>
        <v>21</v>
      </c>
      <c r="L166">
        <f t="shared" ref="L166" si="23">SUM(L159:L165)</f>
        <v>17286</v>
      </c>
    </row>
    <row r="169" spans="8:12" ht="23.85" x14ac:dyDescent="0.5">
      <c r="H169" s="15" t="s">
        <v>65</v>
      </c>
    </row>
    <row r="170" spans="8:12" x14ac:dyDescent="0.3">
      <c r="H170">
        <v>0</v>
      </c>
      <c r="I170">
        <v>15</v>
      </c>
      <c r="J170">
        <v>32</v>
      </c>
      <c r="K170">
        <v>72</v>
      </c>
      <c r="L170">
        <v>240</v>
      </c>
    </row>
    <row r="171" spans="8:12" x14ac:dyDescent="0.3">
      <c r="H171">
        <v>7</v>
      </c>
      <c r="I171">
        <v>10</v>
      </c>
      <c r="J171">
        <v>39</v>
      </c>
      <c r="K171">
        <v>72</v>
      </c>
      <c r="L171">
        <v>72</v>
      </c>
    </row>
    <row r="172" spans="8:12" x14ac:dyDescent="0.3">
      <c r="H172">
        <v>6</v>
      </c>
      <c r="I172">
        <v>15</v>
      </c>
      <c r="J172">
        <v>5</v>
      </c>
      <c r="K172">
        <v>36</v>
      </c>
      <c r="L172">
        <v>3984</v>
      </c>
    </row>
    <row r="173" spans="8:12" x14ac:dyDescent="0.3">
      <c r="H173">
        <v>4</v>
      </c>
      <c r="I173">
        <v>26</v>
      </c>
      <c r="J173">
        <v>35</v>
      </c>
      <c r="K173">
        <v>72</v>
      </c>
      <c r="L173">
        <v>576</v>
      </c>
    </row>
    <row r="174" spans="8:12" x14ac:dyDescent="0.3">
      <c r="I174">
        <v>3</v>
      </c>
      <c r="J174">
        <v>14</v>
      </c>
      <c r="K174">
        <v>72</v>
      </c>
      <c r="L174">
        <v>1752</v>
      </c>
    </row>
    <row r="175" spans="8:12" x14ac:dyDescent="0.3">
      <c r="J175">
        <v>7</v>
      </c>
      <c r="K175">
        <v>72</v>
      </c>
      <c r="L175">
        <v>660</v>
      </c>
    </row>
    <row r="176" spans="8:12" x14ac:dyDescent="0.3">
      <c r="K176">
        <v>21</v>
      </c>
      <c r="L176">
        <v>21</v>
      </c>
    </row>
    <row r="177" spans="8:12" x14ac:dyDescent="0.3">
      <c r="H177">
        <f>SUM(H170:H176)</f>
        <v>17</v>
      </c>
      <c r="I177">
        <f t="shared" ref="I177" si="24">SUM(I170:I176)</f>
        <v>69</v>
      </c>
      <c r="J177">
        <f t="shared" ref="J177" si="25">SUM(J170:J176)</f>
        <v>132</v>
      </c>
      <c r="K177">
        <f t="shared" ref="K177" si="26">SUM(K170:K176)</f>
        <v>417</v>
      </c>
      <c r="L177">
        <f t="shared" ref="L177" si="27">SUM(L170:L176)</f>
        <v>7305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8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2019-08-15T14:27:24Z</dcterms:created>
  <dcterms:modified xsi:type="dcterms:W3CDTF">2019-08-23T19:00:57Z</dcterms:modified>
</cp:coreProperties>
</file>